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&amp;T\PEF\NEW PEF\Templates development\Mapping of Competences &amp; Pro-Rata Calculation\"/>
    </mc:Choice>
  </mc:AlternateContent>
  <xr:revisionPtr revIDLastSave="0" documentId="8_{95C81DEB-D0B5-4271-AAFE-A364AB71EB44}" xr6:coauthVersionLast="47" xr6:coauthVersionMax="47" xr10:uidLastSave="{00000000-0000-0000-0000-000000000000}"/>
  <bookViews>
    <workbookView xWindow="-120" yWindow="-120" windowWidth="29040" windowHeight="15720" tabRatio="798" firstSheet="7" activeTab="10" xr2:uid="{00000000-000D-0000-FFFF-FFFF00000000}"/>
  </bookViews>
  <sheets>
    <sheet name="New PEF Part time calc" sheetId="3" state="hidden" r:id="rId1"/>
    <sheet name="Conversion Rules (Appx II)" sheetId="4" state="hidden" r:id="rId2"/>
    <sheet name="Full (New) to Part (New)" sheetId="7" state="hidden" r:id="rId3"/>
    <sheet name="Part (New) to Full (New)" sheetId="8" state="hidden" r:id="rId4"/>
    <sheet name="Examples (Appx C)" sheetId="9" state="hidden" r:id="rId5"/>
    <sheet name="Full (Old) to Part (New)" sheetId="10" state="hidden" r:id="rId6"/>
    <sheet name="Conversion tool (Appx IV)" sheetId="20" state="hidden" r:id="rId7"/>
    <sheet name="Summary report" sheetId="23" r:id="rId8"/>
    <sheet name="Competence &amp; Declaration" sheetId="25" r:id="rId9"/>
    <sheet name="Old PEF (For student's input)" sheetId="24" r:id="rId10"/>
    <sheet name="Revised PEF - After conversion" sheetId="27" r:id="rId11"/>
    <sheet name="Conversion(Sample1)" sheetId="21" state="hidden" r:id="rId12"/>
    <sheet name="Not used-&gt;" sheetId="6" state="hidden" r:id="rId13"/>
    <sheet name="Conversion(Sample2)" sheetId="22" state="hidden" r:id="rId14"/>
    <sheet name="Comparison" sheetId="1" state="hidden" r:id="rId15"/>
    <sheet name="New PEF (Full &amp; Part)" sheetId="11" state="hidden" r:id="rId16"/>
  </sheets>
  <definedNames>
    <definedName name="_xlnm.Print_Area" localSheetId="14">Comparison!$A$1:$J$17</definedName>
    <definedName name="_xlnm.Print_Area" localSheetId="8">'Competence &amp; Declaration'!$A$1:$D$65</definedName>
    <definedName name="_xlnm.Print_Area" localSheetId="1">'Conversion Rules (Appx II)'!$A$1:$J$14</definedName>
    <definedName name="_xlnm.Print_Area" localSheetId="6">'Conversion tool (Appx IV)'!$A$2:$M$192</definedName>
    <definedName name="_xlnm.Print_Area" localSheetId="11">'Conversion(Sample1)'!$A$1:$K$180</definedName>
    <definedName name="_xlnm.Print_Area" localSheetId="13">'Conversion(Sample2)'!$A$1:$K$177</definedName>
    <definedName name="_xlnm.Print_Area" localSheetId="4">'Examples (Appx C)'!$A$1:$M$42</definedName>
    <definedName name="_xlnm.Print_Area" localSheetId="2">'Full (New) to Part (New)'!$A$1:$L$45</definedName>
    <definedName name="_xlnm.Print_Area" localSheetId="5">'Full (Old) to Part (New)'!$A$1:$F$37</definedName>
    <definedName name="_xlnm.Print_Area" localSheetId="15">'New PEF (Full &amp; Part)'!$A$1:$D$37</definedName>
    <definedName name="_xlnm.Print_Area" localSheetId="0">'New PEF Part time calc'!$A$1:$M$96</definedName>
    <definedName name="_xlnm.Print_Area" localSheetId="9">'Old PEF (For student''s input)'!$A$1:$I$115</definedName>
    <definedName name="_xlnm.Print_Area" localSheetId="3">'Part (New) to Full (New)'!$A$1:$L$31</definedName>
    <definedName name="_xlnm.Print_Area" localSheetId="7">'Summary report'!$A$1:$F$34</definedName>
    <definedName name="_xlnm.Print_Titles" localSheetId="11">'Conversion(Sample1)'!$1:$2</definedName>
    <definedName name="_xlnm.Print_Titles" localSheetId="13">'Conversion(Sample2)'!$1:$2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7" l="1"/>
  <c r="I31" i="27"/>
  <c r="I32" i="27"/>
  <c r="I27" i="27"/>
  <c r="I26" i="27"/>
  <c r="I25" i="27"/>
  <c r="I22" i="27"/>
  <c r="I21" i="27"/>
  <c r="I20" i="27"/>
  <c r="I17" i="27"/>
  <c r="I16" i="27"/>
  <c r="I15" i="27"/>
  <c r="I12" i="27"/>
  <c r="I11" i="27"/>
  <c r="I10" i="27"/>
  <c r="I7" i="27"/>
  <c r="I6" i="27"/>
  <c r="I5" i="27"/>
  <c r="M32" i="27"/>
  <c r="L32" i="27"/>
  <c r="M31" i="27"/>
  <c r="L31" i="27"/>
  <c r="M30" i="27"/>
  <c r="L30" i="27"/>
  <c r="M27" i="27"/>
  <c r="L27" i="27"/>
  <c r="M26" i="27"/>
  <c r="L26" i="27"/>
  <c r="M25" i="27"/>
  <c r="L25" i="27"/>
  <c r="M22" i="27"/>
  <c r="L22" i="27"/>
  <c r="M21" i="27"/>
  <c r="L21" i="27"/>
  <c r="M20" i="27"/>
  <c r="L20" i="27"/>
  <c r="M17" i="27"/>
  <c r="L17" i="27"/>
  <c r="M16" i="27"/>
  <c r="L16" i="27"/>
  <c r="M15" i="27"/>
  <c r="L15" i="27"/>
  <c r="M12" i="27"/>
  <c r="L12" i="27"/>
  <c r="M11" i="27"/>
  <c r="L11" i="27"/>
  <c r="M10" i="27"/>
  <c r="L10" i="27"/>
  <c r="M7" i="27"/>
  <c r="L7" i="27"/>
  <c r="M6" i="27"/>
  <c r="L6" i="27"/>
  <c r="M5" i="27"/>
  <c r="L5" i="27"/>
  <c r="K32" i="27"/>
  <c r="K31" i="27"/>
  <c r="K30" i="27"/>
  <c r="K27" i="27"/>
  <c r="K26" i="27"/>
  <c r="K25" i="27"/>
  <c r="K22" i="27"/>
  <c r="K21" i="27"/>
  <c r="K20" i="27"/>
  <c r="K17" i="27"/>
  <c r="K16" i="27"/>
  <c r="K15" i="27"/>
  <c r="K12" i="27"/>
  <c r="K11" i="27"/>
  <c r="K10" i="27"/>
  <c r="K7" i="27"/>
  <c r="K6" i="27"/>
  <c r="K5" i="27"/>
  <c r="J32" i="27"/>
  <c r="J31" i="27"/>
  <c r="J30" i="27"/>
  <c r="J27" i="27"/>
  <c r="J26" i="27"/>
  <c r="J25" i="27"/>
  <c r="J22" i="27"/>
  <c r="J21" i="27"/>
  <c r="J20" i="27"/>
  <c r="J17" i="27"/>
  <c r="J16" i="27"/>
  <c r="J15" i="27"/>
  <c r="J12" i="27"/>
  <c r="J11" i="27"/>
  <c r="J10" i="27"/>
  <c r="J7" i="27"/>
  <c r="J6" i="27"/>
  <c r="J5" i="27"/>
  <c r="D11" i="23" l="1"/>
  <c r="G96" i="24" l="1"/>
  <c r="F96" i="24"/>
  <c r="F36" i="27" s="1"/>
  <c r="F38" i="27" s="1"/>
  <c r="E96" i="24"/>
  <c r="D96" i="24"/>
  <c r="C96" i="24"/>
  <c r="G33" i="23"/>
  <c r="G32" i="23"/>
  <c r="G31" i="23"/>
  <c r="G30" i="23"/>
  <c r="G29" i="23"/>
  <c r="G28" i="23"/>
  <c r="D14" i="23"/>
  <c r="D10" i="23"/>
  <c r="C32" i="27"/>
  <c r="C31" i="27"/>
  <c r="C30" i="27"/>
  <c r="D27" i="27"/>
  <c r="C27" i="27"/>
  <c r="C26" i="27"/>
  <c r="D25" i="27"/>
  <c r="C25" i="27"/>
  <c r="C22" i="27"/>
  <c r="C20" i="27"/>
  <c r="D16" i="27"/>
  <c r="C16" i="27"/>
  <c r="D15" i="27"/>
  <c r="C15" i="27"/>
  <c r="D11" i="27"/>
  <c r="C11" i="27"/>
  <c r="D10" i="27"/>
  <c r="C10" i="27"/>
  <c r="H93" i="24"/>
  <c r="H86" i="24"/>
  <c r="H79" i="24"/>
  <c r="H72" i="24"/>
  <c r="H66" i="24"/>
  <c r="H59" i="24"/>
  <c r="H48" i="24"/>
  <c r="H37" i="24"/>
  <c r="H31" i="24"/>
  <c r="H26" i="24"/>
  <c r="H17" i="24"/>
  <c r="H10" i="24"/>
  <c r="F33" i="23"/>
  <c r="F32" i="23"/>
  <c r="F31" i="23"/>
  <c r="F30" i="23"/>
  <c r="F29" i="23"/>
  <c r="F28" i="23"/>
  <c r="D6" i="20"/>
  <c r="G185" i="20" s="1"/>
  <c r="F25" i="20"/>
  <c r="F24" i="20"/>
  <c r="F23" i="20"/>
  <c r="F22" i="20"/>
  <c r="F20" i="20"/>
  <c r="F21" i="20"/>
  <c r="D8" i="20"/>
  <c r="G27" i="20"/>
  <c r="D7" i="20"/>
  <c r="H114" i="24"/>
  <c r="C57" i="27"/>
  <c r="D51" i="25" s="1"/>
  <c r="H111" i="24"/>
  <c r="C51" i="27" s="1"/>
  <c r="D45" i="25" s="1"/>
  <c r="H108" i="24"/>
  <c r="H105" i="24"/>
  <c r="C55" i="27" s="1"/>
  <c r="D49" i="25" s="1"/>
  <c r="H102" i="24"/>
  <c r="C54" i="27" s="1"/>
  <c r="D48" i="25" s="1"/>
  <c r="H92" i="24"/>
  <c r="H91" i="24"/>
  <c r="H90" i="24"/>
  <c r="H89" i="24"/>
  <c r="H85" i="24"/>
  <c r="H84" i="24"/>
  <c r="H83" i="24"/>
  <c r="H78" i="24"/>
  <c r="D20" i="27" s="1"/>
  <c r="H77" i="24"/>
  <c r="H76" i="24"/>
  <c r="H75" i="24"/>
  <c r="D31" i="27" s="1"/>
  <c r="H71" i="24"/>
  <c r="D17" i="27" s="1"/>
  <c r="H70" i="24"/>
  <c r="H69" i="24"/>
  <c r="H65" i="24"/>
  <c r="H64" i="24"/>
  <c r="H63" i="24"/>
  <c r="D21" i="27" s="1"/>
  <c r="H62" i="24"/>
  <c r="H58" i="24"/>
  <c r="D26" i="27" s="1"/>
  <c r="H57" i="24"/>
  <c r="D12" i="27" s="1"/>
  <c r="H56" i="24"/>
  <c r="H55" i="24"/>
  <c r="H54" i="24"/>
  <c r="H53" i="24"/>
  <c r="H52" i="24"/>
  <c r="H51" i="24"/>
  <c r="H47" i="24"/>
  <c r="D7" i="27" s="1"/>
  <c r="H46" i="24"/>
  <c r="D6" i="27" s="1"/>
  <c r="H45" i="24"/>
  <c r="D5" i="27" s="1"/>
  <c r="H44" i="24"/>
  <c r="H36" i="24"/>
  <c r="C17" i="27" s="1"/>
  <c r="H35" i="24"/>
  <c r="H34" i="24"/>
  <c r="H30" i="24"/>
  <c r="C21" i="27" s="1"/>
  <c r="H29" i="24"/>
  <c r="H25" i="24"/>
  <c r="H24" i="24"/>
  <c r="C12" i="27" s="1"/>
  <c r="H23" i="24"/>
  <c r="H22" i="24"/>
  <c r="H21" i="24"/>
  <c r="H20" i="24"/>
  <c r="H16" i="24"/>
  <c r="H15" i="24"/>
  <c r="H14" i="24"/>
  <c r="H13" i="24"/>
  <c r="H9" i="24"/>
  <c r="H8" i="24"/>
  <c r="H7" i="24"/>
  <c r="H6" i="24"/>
  <c r="E144" i="20"/>
  <c r="E160" i="20"/>
  <c r="E158" i="20"/>
  <c r="G158" i="20" s="1"/>
  <c r="E149" i="20"/>
  <c r="E148" i="20"/>
  <c r="D165" i="20"/>
  <c r="D164" i="20"/>
  <c r="D163" i="20"/>
  <c r="D160" i="20"/>
  <c r="G160" i="20" s="1"/>
  <c r="D159" i="20"/>
  <c r="D158" i="20"/>
  <c r="D155" i="20"/>
  <c r="D149" i="20"/>
  <c r="D148" i="20"/>
  <c r="D144" i="20"/>
  <c r="D143" i="20"/>
  <c r="G143" i="20" s="1"/>
  <c r="J143" i="20" s="1"/>
  <c r="G149" i="20"/>
  <c r="J149" i="20" s="1"/>
  <c r="G148" i="20"/>
  <c r="K148" i="20" s="1"/>
  <c r="G144" i="20"/>
  <c r="J112" i="20"/>
  <c r="G163" i="20" s="1"/>
  <c r="K163" i="20" s="1"/>
  <c r="E128" i="20"/>
  <c r="E179" i="20"/>
  <c r="E181" i="20"/>
  <c r="K149" i="20"/>
  <c r="K144" i="20"/>
  <c r="J144" i="20"/>
  <c r="H29" i="9"/>
  <c r="H27" i="4"/>
  <c r="H26" i="4" s="1"/>
  <c r="H51" i="9"/>
  <c r="H60" i="9" s="1"/>
  <c r="H61" i="9" s="1"/>
  <c r="H50" i="9"/>
  <c r="H52" i="9" s="1"/>
  <c r="H56" i="9" s="1"/>
  <c r="H57" i="9" s="1"/>
  <c r="H49" i="9"/>
  <c r="H28" i="9"/>
  <c r="H10" i="9"/>
  <c r="H9" i="9"/>
  <c r="H11" i="9"/>
  <c r="H15" i="9" s="1"/>
  <c r="H16" i="9" s="1"/>
  <c r="D52" i="9"/>
  <c r="H19" i="9"/>
  <c r="H118" i="22"/>
  <c r="H169" i="22"/>
  <c r="H170" i="22"/>
  <c r="H172" i="22"/>
  <c r="G118" i="22"/>
  <c r="G169" i="22"/>
  <c r="G170" i="22"/>
  <c r="G172" i="22"/>
  <c r="F118" i="22"/>
  <c r="F169" i="22"/>
  <c r="F170" i="22" s="1"/>
  <c r="F172" i="22" s="1"/>
  <c r="E118" i="22"/>
  <c r="E169" i="22"/>
  <c r="E170" i="22"/>
  <c r="E172" i="22"/>
  <c r="D118" i="22"/>
  <c r="D169" i="22"/>
  <c r="I112" i="22"/>
  <c r="I111" i="22"/>
  <c r="I110" i="22"/>
  <c r="I109" i="22"/>
  <c r="F161" i="22" s="1"/>
  <c r="J161" i="22" s="1"/>
  <c r="I108" i="22"/>
  <c r="I105" i="22"/>
  <c r="I104" i="22"/>
  <c r="I103" i="22"/>
  <c r="F159" i="22" s="1"/>
  <c r="J159" i="22" s="1"/>
  <c r="I102" i="22"/>
  <c r="I99" i="22"/>
  <c r="I98" i="22"/>
  <c r="F149" i="22"/>
  <c r="J149" i="22" s="1"/>
  <c r="I97" i="22"/>
  <c r="F156" i="22" s="1"/>
  <c r="J156" i="22" s="1"/>
  <c r="I96" i="22"/>
  <c r="I95" i="22"/>
  <c r="F160" i="22" s="1"/>
  <c r="J160" i="22" s="1"/>
  <c r="I92" i="22"/>
  <c r="I91" i="22"/>
  <c r="F146" i="22" s="1"/>
  <c r="J146" i="22" s="1"/>
  <c r="I90" i="22"/>
  <c r="I89" i="22"/>
  <c r="I86" i="22"/>
  <c r="I85" i="22"/>
  <c r="F154" i="22" s="1"/>
  <c r="J154" i="22" s="1"/>
  <c r="I84" i="22"/>
  <c r="F150" i="22"/>
  <c r="J150" i="22" s="1"/>
  <c r="I83" i="22"/>
  <c r="I82" i="22"/>
  <c r="I79" i="22"/>
  <c r="I78" i="22"/>
  <c r="I77" i="22"/>
  <c r="I76" i="22"/>
  <c r="I75" i="22"/>
  <c r="I74" i="22"/>
  <c r="I73" i="22"/>
  <c r="I72" i="22"/>
  <c r="I71" i="22"/>
  <c r="I68" i="22"/>
  <c r="I67" i="22"/>
  <c r="I66" i="22"/>
  <c r="I65" i="22"/>
  <c r="I64" i="22"/>
  <c r="I54" i="22"/>
  <c r="I53" i="22"/>
  <c r="I52" i="22"/>
  <c r="F145" i="22" s="1"/>
  <c r="J145" i="22" s="1"/>
  <c r="I51" i="22"/>
  <c r="F144" i="22"/>
  <c r="J144" i="22" s="1"/>
  <c r="I48" i="22"/>
  <c r="I47" i="22"/>
  <c r="I46" i="22"/>
  <c r="F151" i="22" s="1"/>
  <c r="J151" i="22" s="1"/>
  <c r="I43" i="22"/>
  <c r="I42" i="22"/>
  <c r="F155" i="22" s="1"/>
  <c r="J155" i="22" s="1"/>
  <c r="I41" i="22"/>
  <c r="I40" i="22"/>
  <c r="F140" i="22" s="1"/>
  <c r="I39" i="22"/>
  <c r="I38" i="22"/>
  <c r="I37" i="22"/>
  <c r="F139" i="22" s="1"/>
  <c r="J139" i="22" s="1"/>
  <c r="I34" i="22"/>
  <c r="I33" i="22"/>
  <c r="I32" i="22"/>
  <c r="I31" i="22"/>
  <c r="I30" i="22"/>
  <c r="I27" i="22"/>
  <c r="F164" i="22" s="1"/>
  <c r="I26" i="22"/>
  <c r="I25" i="22"/>
  <c r="I24" i="22"/>
  <c r="I23" i="22"/>
  <c r="I14" i="22"/>
  <c r="I171" i="22"/>
  <c r="I13" i="22"/>
  <c r="I160" i="22"/>
  <c r="H120" i="21"/>
  <c r="H172" i="21"/>
  <c r="G120" i="21"/>
  <c r="G172" i="21"/>
  <c r="G173" i="21" s="1"/>
  <c r="G175" i="21" s="1"/>
  <c r="F120" i="21"/>
  <c r="F172" i="21" s="1"/>
  <c r="F173" i="21" s="1"/>
  <c r="E120" i="21"/>
  <c r="E172" i="21"/>
  <c r="E173" i="21"/>
  <c r="E175" i="21"/>
  <c r="D120" i="21"/>
  <c r="D172" i="21" s="1"/>
  <c r="I114" i="21"/>
  <c r="I113" i="21"/>
  <c r="I112" i="21"/>
  <c r="I111" i="21"/>
  <c r="F163" i="21" s="1"/>
  <c r="J163" i="21" s="1"/>
  <c r="I110" i="21"/>
  <c r="I107" i="21"/>
  <c r="I106" i="21"/>
  <c r="I105" i="21"/>
  <c r="I104" i="21"/>
  <c r="F161" i="21" s="1"/>
  <c r="J161" i="21" s="1"/>
  <c r="I101" i="21"/>
  <c r="I100" i="21"/>
  <c r="F151" i="21"/>
  <c r="J151" i="21" s="1"/>
  <c r="I99" i="21"/>
  <c r="F158" i="21"/>
  <c r="J158" i="21"/>
  <c r="I98" i="21"/>
  <c r="I97" i="21"/>
  <c r="F162" i="21" s="1"/>
  <c r="J162" i="21" s="1"/>
  <c r="I94" i="21"/>
  <c r="I93" i="21"/>
  <c r="F148" i="21" s="1"/>
  <c r="I92" i="21"/>
  <c r="I91" i="21"/>
  <c r="I88" i="21"/>
  <c r="I87" i="21"/>
  <c r="F156" i="21"/>
  <c r="J156" i="21"/>
  <c r="I86" i="21"/>
  <c r="I85" i="21"/>
  <c r="I84" i="21"/>
  <c r="I81" i="21"/>
  <c r="I80" i="21"/>
  <c r="I79" i="21"/>
  <c r="F143" i="21" s="1"/>
  <c r="J143" i="21" s="1"/>
  <c r="I78" i="21"/>
  <c r="I77" i="21"/>
  <c r="I76" i="21"/>
  <c r="I75" i="21"/>
  <c r="I74" i="21"/>
  <c r="F142" i="21" s="1"/>
  <c r="J142" i="21" s="1"/>
  <c r="I73" i="21"/>
  <c r="I70" i="21"/>
  <c r="I69" i="21"/>
  <c r="I68" i="21"/>
  <c r="I67" i="21"/>
  <c r="I66" i="21"/>
  <c r="I55" i="21"/>
  <c r="I54" i="21"/>
  <c r="I53" i="21"/>
  <c r="I52" i="21"/>
  <c r="F146" i="21"/>
  <c r="J146" i="21"/>
  <c r="I49" i="21"/>
  <c r="I48" i="21"/>
  <c r="I47" i="21"/>
  <c r="F153" i="21"/>
  <c r="I44" i="21"/>
  <c r="I43" i="21"/>
  <c r="F157" i="21"/>
  <c r="J157" i="21" s="1"/>
  <c r="I42" i="21"/>
  <c r="I41" i="21"/>
  <c r="I40" i="21"/>
  <c r="I39" i="21"/>
  <c r="I38" i="21"/>
  <c r="F141" i="21" s="1"/>
  <c r="J141" i="21" s="1"/>
  <c r="I35" i="21"/>
  <c r="I34" i="21"/>
  <c r="I33" i="21"/>
  <c r="I32" i="21"/>
  <c r="I31" i="21"/>
  <c r="I28" i="21"/>
  <c r="F166" i="21" s="1"/>
  <c r="I27" i="21"/>
  <c r="I26" i="21"/>
  <c r="I25" i="21"/>
  <c r="I24" i="21"/>
  <c r="F136" i="21" s="1"/>
  <c r="J136" i="21" s="1"/>
  <c r="I14" i="21"/>
  <c r="I174" i="21"/>
  <c r="I13" i="21"/>
  <c r="I162" i="21"/>
  <c r="I128" i="20"/>
  <c r="I179" i="20"/>
  <c r="I181" i="20"/>
  <c r="H128" i="20"/>
  <c r="H179" i="20" s="1"/>
  <c r="H181" i="20" s="1"/>
  <c r="G128" i="20"/>
  <c r="G179" i="20"/>
  <c r="G181" i="20"/>
  <c r="F128" i="20"/>
  <c r="F179" i="20" s="1"/>
  <c r="J122" i="20"/>
  <c r="J121" i="20"/>
  <c r="J120" i="20"/>
  <c r="J119" i="20"/>
  <c r="J118" i="20"/>
  <c r="J115" i="20"/>
  <c r="J114" i="20"/>
  <c r="J113" i="20"/>
  <c r="J109" i="20"/>
  <c r="J108" i="20"/>
  <c r="E153" i="20"/>
  <c r="G153" i="20" s="1"/>
  <c r="J107" i="20"/>
  <c r="J106" i="20"/>
  <c r="J105" i="20"/>
  <c r="E164" i="20"/>
  <c r="J102" i="20"/>
  <c r="J101" i="20"/>
  <c r="E150" i="20" s="1"/>
  <c r="G150" i="20" s="1"/>
  <c r="J100" i="20"/>
  <c r="J99" i="20"/>
  <c r="J96" i="20"/>
  <c r="J95" i="20"/>
  <c r="J94" i="20"/>
  <c r="E154" i="20" s="1"/>
  <c r="G154" i="20" s="1"/>
  <c r="K154" i="20" s="1"/>
  <c r="J93" i="20"/>
  <c r="J92" i="20"/>
  <c r="J89" i="20"/>
  <c r="J88" i="20"/>
  <c r="E159" i="20"/>
  <c r="G159" i="20"/>
  <c r="K159" i="20" s="1"/>
  <c r="J87" i="20"/>
  <c r="E145" i="20"/>
  <c r="J86" i="20"/>
  <c r="J85" i="20"/>
  <c r="J84" i="20"/>
  <c r="J83" i="20"/>
  <c r="E143" i="20"/>
  <c r="J82" i="20"/>
  <c r="J81" i="20"/>
  <c r="J78" i="20"/>
  <c r="J77" i="20"/>
  <c r="E140" i="20" s="1"/>
  <c r="J76" i="20"/>
  <c r="E139" i="20"/>
  <c r="J75" i="20"/>
  <c r="E138" i="20"/>
  <c r="J74" i="20"/>
  <c r="J63" i="20"/>
  <c r="J62" i="20"/>
  <c r="D150" i="20"/>
  <c r="J61" i="20"/>
  <c r="J60" i="20"/>
  <c r="J57" i="20"/>
  <c r="J56" i="20"/>
  <c r="D154" i="20"/>
  <c r="J55" i="20"/>
  <c r="D153" i="20"/>
  <c r="J52" i="20"/>
  <c r="J51" i="20"/>
  <c r="J50" i="20"/>
  <c r="J49" i="20"/>
  <c r="J48" i="20"/>
  <c r="J47" i="20"/>
  <c r="J46" i="20"/>
  <c r="J43" i="20"/>
  <c r="J42" i="20"/>
  <c r="J41" i="20"/>
  <c r="J40" i="20"/>
  <c r="J39" i="20"/>
  <c r="J36" i="20"/>
  <c r="J35" i="20"/>
  <c r="D140" i="20" s="1"/>
  <c r="G140" i="20" s="1"/>
  <c r="K140" i="20" s="1"/>
  <c r="J34" i="20"/>
  <c r="J33" i="20"/>
  <c r="J32" i="20"/>
  <c r="H30" i="9"/>
  <c r="H39" i="9" s="1"/>
  <c r="H40" i="9" s="1"/>
  <c r="H31" i="9"/>
  <c r="H20" i="9"/>
  <c r="E155" i="20"/>
  <c r="G155" i="20" s="1"/>
  <c r="D138" i="20"/>
  <c r="G138" i="20" s="1"/>
  <c r="D145" i="20"/>
  <c r="G145" i="20"/>
  <c r="K145" i="20"/>
  <c r="K143" i="20"/>
  <c r="J159" i="20"/>
  <c r="D139" i="20"/>
  <c r="G139" i="20"/>
  <c r="E163" i="20"/>
  <c r="F134" i="22"/>
  <c r="J134" i="22" s="1"/>
  <c r="F135" i="22"/>
  <c r="G164" i="20"/>
  <c r="F147" i="21"/>
  <c r="J147" i="21"/>
  <c r="F137" i="21"/>
  <c r="J137" i="21" s="1"/>
  <c r="I139" i="22"/>
  <c r="I159" i="22"/>
  <c r="J148" i="21"/>
  <c r="I147" i="21"/>
  <c r="F152" i="21"/>
  <c r="J152" i="21" s="1"/>
  <c r="I153" i="21"/>
  <c r="J153" i="21" s="1"/>
  <c r="I145" i="22"/>
  <c r="I151" i="22"/>
  <c r="I141" i="21"/>
  <c r="H35" i="9"/>
  <c r="H36" i="9" s="1"/>
  <c r="F141" i="22"/>
  <c r="J141" i="22" s="1"/>
  <c r="F136" i="22"/>
  <c r="J136" i="22"/>
  <c r="D170" i="22"/>
  <c r="I136" i="22"/>
  <c r="I144" i="22"/>
  <c r="I150" i="22"/>
  <c r="I156" i="22"/>
  <c r="I135" i="22"/>
  <c r="J135" i="22"/>
  <c r="I141" i="22"/>
  <c r="I149" i="22"/>
  <c r="I155" i="22"/>
  <c r="I161" i="22"/>
  <c r="I134" i="22"/>
  <c r="I140" i="22"/>
  <c r="I146" i="22"/>
  <c r="I154" i="22"/>
  <c r="F138" i="21"/>
  <c r="J138" i="21" s="1"/>
  <c r="F175" i="21"/>
  <c r="H173" i="21"/>
  <c r="H175" i="21"/>
  <c r="I161" i="21"/>
  <c r="I138" i="21"/>
  <c r="I146" i="21"/>
  <c r="I152" i="21"/>
  <c r="I158" i="21"/>
  <c r="I137" i="21"/>
  <c r="I143" i="21"/>
  <c r="I151" i="21"/>
  <c r="I157" i="21"/>
  <c r="I163" i="21"/>
  <c r="I136" i="21"/>
  <c r="I142" i="21"/>
  <c r="I148" i="21"/>
  <c r="I156" i="21"/>
  <c r="J145" i="20"/>
  <c r="K164" i="20"/>
  <c r="J164" i="20"/>
  <c r="J139" i="20"/>
  <c r="K139" i="20"/>
  <c r="E29" i="10"/>
  <c r="E12" i="10"/>
  <c r="E22" i="8"/>
  <c r="E8" i="8"/>
  <c r="F35" i="7"/>
  <c r="F20" i="7"/>
  <c r="F19" i="7"/>
  <c r="F10" i="7"/>
  <c r="F12" i="7" s="1"/>
  <c r="F14" i="7" s="1"/>
  <c r="C64" i="11"/>
  <c r="E25" i="8"/>
  <c r="L41" i="3"/>
  <c r="L44" i="3"/>
  <c r="L22" i="3"/>
  <c r="L21" i="3"/>
  <c r="L9" i="3"/>
  <c r="L8" i="3"/>
  <c r="L14" i="3"/>
  <c r="L29" i="3"/>
  <c r="L13" i="3"/>
  <c r="L28" i="3"/>
  <c r="L59" i="3"/>
  <c r="L12" i="3"/>
  <c r="C26" i="10"/>
  <c r="E24" i="10" s="1"/>
  <c r="E26" i="10" s="1"/>
  <c r="E30" i="10" s="1"/>
  <c r="E31" i="10" s="1"/>
  <c r="E34" i="10" s="1"/>
  <c r="E36" i="10" s="1"/>
  <c r="C8" i="10"/>
  <c r="E7" i="10"/>
  <c r="D31" i="9"/>
  <c r="D11" i="9"/>
  <c r="C24" i="8"/>
  <c r="E23" i="8" s="1"/>
  <c r="C9" i="8"/>
  <c r="E9" i="8"/>
  <c r="C37" i="7"/>
  <c r="F36" i="7" s="1"/>
  <c r="F37" i="7" s="1"/>
  <c r="F39" i="7" s="1"/>
  <c r="C22" i="7"/>
  <c r="F11" i="7"/>
  <c r="C45" i="11"/>
  <c r="C27" i="11"/>
  <c r="C11" i="11"/>
  <c r="E35" i="10"/>
  <c r="L61" i="3"/>
  <c r="M62" i="3"/>
  <c r="L60" i="3"/>
  <c r="L69" i="3" s="1"/>
  <c r="K60" i="3"/>
  <c r="K21" i="3"/>
  <c r="L20" i="3"/>
  <c r="D43" i="3"/>
  <c r="D63" i="3" s="1"/>
  <c r="F47" i="3"/>
  <c r="L40" i="3"/>
  <c r="F26" i="3"/>
  <c r="F66" i="3" s="1"/>
  <c r="F68" i="3" s="1"/>
  <c r="D26" i="3"/>
  <c r="D66" i="3" s="1"/>
  <c r="D68" i="3" s="1"/>
  <c r="E8" i="10"/>
  <c r="L78" i="3"/>
  <c r="E10" i="8"/>
  <c r="E12" i="8" s="1"/>
  <c r="E24" i="8"/>
  <c r="E26" i="8" s="1"/>
  <c r="E11" i="8"/>
  <c r="F21" i="7"/>
  <c r="F23" i="7"/>
  <c r="L23" i="3"/>
  <c r="L43" i="3"/>
  <c r="L50" i="3"/>
  <c r="L24" i="3"/>
  <c r="L57" i="3"/>
  <c r="L63" i="3"/>
  <c r="D46" i="3"/>
  <c r="D48" i="3"/>
  <c r="E25" i="10"/>
  <c r="F67" i="3"/>
  <c r="F27" i="3"/>
  <c r="D28" i="3"/>
  <c r="D30" i="27" l="1"/>
  <c r="E30" i="27" s="1"/>
  <c r="F30" i="27" s="1"/>
  <c r="E36" i="27"/>
  <c r="E38" i="27" s="1"/>
  <c r="D36" i="27"/>
  <c r="D38" i="27" s="1"/>
  <c r="C36" i="27"/>
  <c r="C38" i="27" s="1"/>
  <c r="C56" i="27"/>
  <c r="D50" i="25" s="1"/>
  <c r="C50" i="27"/>
  <c r="D44" i="25" s="1"/>
  <c r="D22" i="27"/>
  <c r="E22" i="27" s="1"/>
  <c r="D22" i="25" s="1"/>
  <c r="E22" i="25" s="1"/>
  <c r="C49" i="27"/>
  <c r="D43" i="25" s="1"/>
  <c r="D32" i="27"/>
  <c r="E32" i="27" s="1"/>
  <c r="C7" i="27"/>
  <c r="E7" i="27" s="1"/>
  <c r="D7" i="25" s="1"/>
  <c r="E7" i="25" s="1"/>
  <c r="G36" i="27"/>
  <c r="G38" i="27" s="1"/>
  <c r="C5" i="27"/>
  <c r="E5" i="27" s="1"/>
  <c r="D5" i="25" s="1"/>
  <c r="E5" i="25" s="1"/>
  <c r="E11" i="27"/>
  <c r="F11" i="27" s="1"/>
  <c r="E16" i="27"/>
  <c r="D16" i="25" s="1"/>
  <c r="E16" i="25" s="1"/>
  <c r="E25" i="27"/>
  <c r="F25" i="27" s="1"/>
  <c r="E17" i="27"/>
  <c r="D17" i="25" s="1"/>
  <c r="E17" i="25" s="1"/>
  <c r="E20" i="27"/>
  <c r="E12" i="27"/>
  <c r="D12" i="25" s="1"/>
  <c r="E12" i="25" s="1"/>
  <c r="E10" i="27"/>
  <c r="E26" i="27"/>
  <c r="F26" i="27" s="1"/>
  <c r="E27" i="27"/>
  <c r="E21" i="27"/>
  <c r="E15" i="27"/>
  <c r="E31" i="27"/>
  <c r="D32" i="25" s="1"/>
  <c r="E32" i="25" s="1"/>
  <c r="D15" i="23"/>
  <c r="J169" i="22"/>
  <c r="F46" i="3"/>
  <c r="F48" i="3" s="1"/>
  <c r="L15" i="3"/>
  <c r="L27" i="3"/>
  <c r="L30" i="3" s="1"/>
  <c r="J140" i="20"/>
  <c r="J163" i="20"/>
  <c r="J170" i="22"/>
  <c r="K155" i="20"/>
  <c r="J155" i="20"/>
  <c r="D9" i="20"/>
  <c r="G168" i="20"/>
  <c r="F28" i="3"/>
  <c r="E9" i="10"/>
  <c r="E13" i="10" s="1"/>
  <c r="E14" i="10" s="1"/>
  <c r="E17" i="10" s="1"/>
  <c r="E19" i="10" s="1"/>
  <c r="J154" i="20"/>
  <c r="F181" i="20"/>
  <c r="D10" i="20" s="1"/>
  <c r="G184" i="20"/>
  <c r="G186" i="20" s="1"/>
  <c r="K138" i="20"/>
  <c r="J138" i="20"/>
  <c r="K150" i="20"/>
  <c r="J150" i="20"/>
  <c r="K153" i="20"/>
  <c r="J153" i="20"/>
  <c r="G165" i="20"/>
  <c r="E165" i="20"/>
  <c r="G189" i="20" s="1"/>
  <c r="G191" i="20" s="1"/>
  <c r="D11" i="20" s="1"/>
  <c r="J140" i="22"/>
  <c r="J160" i="20"/>
  <c r="K160" i="20"/>
  <c r="K158" i="20"/>
  <c r="J158" i="20"/>
  <c r="J172" i="21"/>
  <c r="D173" i="21"/>
  <c r="J172" i="22"/>
  <c r="H96" i="24"/>
  <c r="C6" i="27"/>
  <c r="D172" i="22"/>
  <c r="L62" i="3"/>
  <c r="H25" i="4"/>
  <c r="J148" i="20"/>
  <c r="D17" i="23" l="1"/>
  <c r="F22" i="27"/>
  <c r="G22" i="27"/>
  <c r="F16" i="27"/>
  <c r="G25" i="27"/>
  <c r="D11" i="25"/>
  <c r="E11" i="25" s="1"/>
  <c r="D25" i="25"/>
  <c r="E25" i="25" s="1"/>
  <c r="G11" i="27"/>
  <c r="D26" i="25"/>
  <c r="E26" i="25" s="1"/>
  <c r="G16" i="27"/>
  <c r="G12" i="27"/>
  <c r="F20" i="27"/>
  <c r="G17" i="27"/>
  <c r="D20" i="25"/>
  <c r="E20" i="25" s="1"/>
  <c r="F17" i="27"/>
  <c r="G26" i="27"/>
  <c r="G15" i="27"/>
  <c r="G7" i="27"/>
  <c r="G20" i="27"/>
  <c r="D15" i="25"/>
  <c r="E15" i="25" s="1"/>
  <c r="D21" i="25"/>
  <c r="E21" i="25" s="1"/>
  <c r="D27" i="25"/>
  <c r="E27" i="25" s="1"/>
  <c r="E6" i="27"/>
  <c r="F12" i="27"/>
  <c r="G5" i="27"/>
  <c r="G31" i="27"/>
  <c r="F7" i="27"/>
  <c r="F15" i="27"/>
  <c r="G30" i="27"/>
  <c r="D31" i="25"/>
  <c r="E31" i="25" s="1"/>
  <c r="F31" i="27"/>
  <c r="F27" i="27"/>
  <c r="F21" i="27"/>
  <c r="D10" i="25"/>
  <c r="E10" i="25" s="1"/>
  <c r="F10" i="27"/>
  <c r="G10" i="27"/>
  <c r="G27" i="27"/>
  <c r="G21" i="27"/>
  <c r="F5" i="27"/>
  <c r="K165" i="20"/>
  <c r="J165" i="20"/>
  <c r="D175" i="21"/>
  <c r="J173" i="21"/>
  <c r="J175" i="21" s="1"/>
  <c r="F32" i="27"/>
  <c r="D33" i="25"/>
  <c r="E33" i="25" s="1"/>
  <c r="G32" i="27"/>
  <c r="D13" i="20"/>
  <c r="D12" i="20"/>
  <c r="F6" i="27" l="1"/>
  <c r="D19" i="23" s="1"/>
  <c r="G6" i="27"/>
  <c r="D6" i="25"/>
  <c r="D35" i="25" l="1"/>
  <c r="D12" i="23" s="1"/>
  <c r="E6" i="25"/>
  <c r="E35" i="25" s="1"/>
  <c r="D13" i="23" s="1"/>
  <c r="D16" i="23" s="1"/>
  <c r="D20" i="23"/>
  <c r="C41" i="27"/>
  <c r="C43" i="27" s="1"/>
  <c r="D18" i="23" s="1"/>
</calcChain>
</file>

<file path=xl/sharedStrings.xml><?xml version="1.0" encoding="utf-8"?>
<sst xmlns="http://schemas.openxmlformats.org/spreadsheetml/2006/main" count="2204" uniqueCount="722">
  <si>
    <t>Unit 1</t>
    <phoneticPr fontId="2" type="noConversion"/>
  </si>
  <si>
    <t>Unit 2</t>
  </si>
  <si>
    <t>Unit 2</t>
    <phoneticPr fontId="2" type="noConversion"/>
  </si>
  <si>
    <t>Unit 3</t>
  </si>
  <si>
    <t>Unit 3</t>
    <phoneticPr fontId="2" type="noConversion"/>
  </si>
  <si>
    <t>Unit 4</t>
  </si>
  <si>
    <t>Unit 4</t>
    <phoneticPr fontId="2" type="noConversion"/>
  </si>
  <si>
    <t>Unit 6</t>
  </si>
  <si>
    <t>Unit 5</t>
    <phoneticPr fontId="2" type="noConversion"/>
  </si>
  <si>
    <t>Unit 6</t>
    <phoneticPr fontId="2" type="noConversion"/>
  </si>
  <si>
    <t>Unit 7</t>
    <phoneticPr fontId="2" type="noConversion"/>
  </si>
  <si>
    <t>Planning and engagement</t>
    <phoneticPr fontId="2" type="noConversion"/>
  </si>
  <si>
    <t>Performing an audit engagement</t>
    <phoneticPr fontId="2" type="noConversion"/>
  </si>
  <si>
    <t>Audit review and reporting</t>
    <phoneticPr fontId="2" type="noConversion"/>
  </si>
  <si>
    <t>AA1</t>
    <phoneticPr fontId="2" type="noConversion"/>
  </si>
  <si>
    <t>AA2</t>
    <phoneticPr fontId="2" type="noConversion"/>
  </si>
  <si>
    <t>AA3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</si>
  <si>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</si>
  <si>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</si>
  <si>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</si>
  <si>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Tax planning</t>
    <phoneticPr fontId="2" type="noConversion"/>
  </si>
  <si>
    <t>Tax computations</t>
    <phoneticPr fontId="2" type="noConversion"/>
  </si>
  <si>
    <t>Tax compliance</t>
    <phoneticPr fontId="2" type="noConversion"/>
  </si>
  <si>
    <t>Accounting for transactions</t>
    <phoneticPr fontId="2" type="noConversion"/>
  </si>
  <si>
    <t>Preparing financial reports</t>
    <phoneticPr fontId="2" type="noConversion"/>
  </si>
  <si>
    <t>Analysing financial reports</t>
    <phoneticPr fontId="2" type="noConversion"/>
  </si>
  <si>
    <t>FAR2</t>
    <phoneticPr fontId="2" type="noConversion"/>
  </si>
  <si>
    <t>FAR1</t>
    <phoneticPr fontId="2" type="noConversion"/>
  </si>
  <si>
    <t>FAR3</t>
    <phoneticPr fontId="2" type="noConversion"/>
  </si>
  <si>
    <t>IBR1</t>
    <phoneticPr fontId="2" type="noConversion"/>
  </si>
  <si>
    <t xml:space="preserve">Able to prepare or analyze the annual reports of a company or other substantial organizations, including determination of accounting policies, appropriate selection and verification of input data, presentation and compliance, within required time frames </t>
    <phoneticPr fontId="2" type="noConversion"/>
  </si>
  <si>
    <t>Able to evaluate accounting and information systems</t>
    <phoneticPr fontId="2" type="noConversion"/>
  </si>
  <si>
    <t>Ability to analyze and explain variances between budgeted and actual financial results, including appropriate use of non-financial indicators</t>
    <phoneticPr fontId="2" type="noConversion"/>
  </si>
  <si>
    <t>Able to apply accounting standards</t>
    <phoneticPr fontId="2" type="noConversion"/>
  </si>
  <si>
    <t xml:space="preserve">Able to prepare annual reports or financial statements </t>
    <phoneticPr fontId="2" type="noConversion"/>
  </si>
  <si>
    <t>Able to explain result variances</t>
    <phoneticPr fontId="2" type="noConversion"/>
  </si>
  <si>
    <t>Able to implement audit procedures</t>
    <phoneticPr fontId="2" type="noConversion"/>
  </si>
  <si>
    <t>Able to examine compliance</t>
    <phoneticPr fontId="2" type="noConversion"/>
  </si>
  <si>
    <t>Able to apply auditing standards</t>
    <phoneticPr fontId="2" type="noConversion"/>
  </si>
  <si>
    <t>Able to implement audit processes</t>
    <phoneticPr fontId="2" type="noConversion"/>
  </si>
  <si>
    <t>Able to prepare audit reports and management letters</t>
    <phoneticPr fontId="2" type="noConversion"/>
  </si>
  <si>
    <t>Able to identify and evaluate internal control systems</t>
    <phoneticPr fontId="2" type="noConversion"/>
  </si>
  <si>
    <t>Able to analyze business data</t>
    <phoneticPr fontId="2" type="noConversion"/>
  </si>
  <si>
    <t>Able to prepare financial forecasts</t>
    <phoneticPr fontId="2" type="noConversion"/>
  </si>
  <si>
    <t>Able to determine tax situation of a business</t>
    <phoneticPr fontId="2" type="noConversion"/>
  </si>
  <si>
    <t>Able to recognize the impact of taxes and duties</t>
    <phoneticPr fontId="2" type="noConversion"/>
  </si>
  <si>
    <t>Able to determine the external reporting policies and prepare reports</t>
    <phoneticPr fontId="2" type="noConversion"/>
  </si>
  <si>
    <t>Able to manage external reporting as a functional area within the organization</t>
    <phoneticPr fontId="2" type="noConversion"/>
  </si>
  <si>
    <t>Able to determine nature and scope of audit assignment</t>
    <phoneticPr fontId="2" type="noConversion"/>
  </si>
  <si>
    <t>Able to assess the audit risk</t>
    <phoneticPr fontId="2" type="noConversion"/>
  </si>
  <si>
    <t>Able to evaluate and improve internal control systems</t>
    <phoneticPr fontId="2" type="noConversion"/>
  </si>
  <si>
    <t>Able to develop financial systems</t>
    <phoneticPr fontId="2" type="noConversion"/>
  </si>
  <si>
    <t>Able to contribute to strategies and business planning</t>
    <phoneticPr fontId="2" type="noConversion"/>
  </si>
  <si>
    <t>Able to determine tax situation of a corporate or an individual</t>
    <phoneticPr fontId="2" type="noConversion"/>
  </si>
  <si>
    <t>Able to participate in resource-related direction setting</t>
    <phoneticPr fontId="2" type="noConversion"/>
  </si>
  <si>
    <t>Able to appraise projects</t>
    <phoneticPr fontId="2" type="noConversion"/>
  </si>
  <si>
    <t>Able to design, implement and review performance measurement systems</t>
    <phoneticPr fontId="2" type="noConversion"/>
  </si>
  <si>
    <t>Able to operate and develop a cost accounting system</t>
    <phoneticPr fontId="2" type="noConversion"/>
  </si>
  <si>
    <t>Able to assist in information systems assessment and strategy formation</t>
    <phoneticPr fontId="2" type="noConversion"/>
  </si>
  <si>
    <t>Able to assist in implementing information systems</t>
    <phoneticPr fontId="2" type="noConversion"/>
  </si>
  <si>
    <t>Able to operate information systems</t>
    <phoneticPr fontId="2" type="noConversion"/>
  </si>
  <si>
    <t>Able to assess commercial viability</t>
    <phoneticPr fontId="2" type="noConversion"/>
  </si>
  <si>
    <t>Able to assist in establishing strategic possibilities</t>
    <phoneticPr fontId="2" type="noConversion"/>
  </si>
  <si>
    <t>Able to assist in managing the reconstruction</t>
    <phoneticPr fontId="2" type="noConversion"/>
  </si>
  <si>
    <t>Able to assist in liquidations and winding up process</t>
    <phoneticPr fontId="2" type="noConversion"/>
  </si>
  <si>
    <t>Scenario 1</t>
    <phoneticPr fontId="2" type="noConversion"/>
  </si>
  <si>
    <t>Part-time work experience: 3 days per week (i.e. 24 hours per week)</t>
    <phoneticPr fontId="2" type="noConversion"/>
  </si>
  <si>
    <t>OR</t>
    <phoneticPr fontId="2" type="noConversion"/>
  </si>
  <si>
    <t>Assume the workers work every week (3 days per week) per year</t>
    <phoneticPr fontId="2" type="noConversion"/>
  </si>
  <si>
    <t>Part time workers working days per year</t>
    <phoneticPr fontId="2" type="noConversion"/>
  </si>
  <si>
    <t>In Days (for 52 weeks)</t>
    <phoneticPr fontId="2" type="noConversion"/>
  </si>
  <si>
    <t>In Days (for 53 weeks)</t>
    <phoneticPr fontId="2" type="noConversion"/>
  </si>
  <si>
    <t>min. working days requirement per year</t>
    <phoneticPr fontId="2" type="noConversion"/>
  </si>
  <si>
    <t>No. of total working days in 2020 (Exclude weekends and public holidays):</t>
    <phoneticPr fontId="2" type="noConversion"/>
  </si>
  <si>
    <t>For example - in year 2020 (from 1/1/2020 - 31/12/2020)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</si>
  <si>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</si>
  <si>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MF1</t>
    <phoneticPr fontId="2" type="noConversion"/>
  </si>
  <si>
    <t>Cost Management and Evaluation</t>
    <phoneticPr fontId="2" type="noConversion"/>
  </si>
  <si>
    <t>MF2</t>
    <phoneticPr fontId="2" type="noConversion"/>
  </si>
  <si>
    <t>Cash Management, Planning and Budgetary Control, Treasury</t>
    <phoneticPr fontId="2" type="noConversion"/>
  </si>
  <si>
    <t>MF3</t>
    <phoneticPr fontId="2" type="noConversion"/>
  </si>
  <si>
    <t>Appraising Investments</t>
    <phoneticPr fontId="2" type="noConversion"/>
  </si>
  <si>
    <t>IBR2</t>
    <phoneticPr fontId="2" type="noConversion"/>
  </si>
  <si>
    <t>3 &amp; 2</t>
    <phoneticPr fontId="2" type="noConversion"/>
  </si>
  <si>
    <t>GRI1</t>
    <phoneticPr fontId="2" type="noConversion"/>
  </si>
  <si>
    <t>GRI2</t>
    <phoneticPr fontId="2" type="noConversion"/>
  </si>
  <si>
    <t>GRI3</t>
    <phoneticPr fontId="2" type="noConversion"/>
  </si>
  <si>
    <t>Identifying and Managing Risk</t>
    <phoneticPr fontId="2" type="noConversion"/>
  </si>
  <si>
    <t>Designing Internal Controls</t>
    <phoneticPr fontId="2" type="noConversion"/>
  </si>
  <si>
    <t>Monitoring Performance and Accountability</t>
    <phoneticPr fontId="2" type="noConversion"/>
  </si>
  <si>
    <t>Information Technology</t>
    <phoneticPr fontId="2" type="noConversion"/>
  </si>
  <si>
    <t>Business Strategy and Management</t>
    <phoneticPr fontId="2" type="noConversion"/>
  </si>
  <si>
    <t>IBR3</t>
    <phoneticPr fontId="2" type="noConversion"/>
  </si>
  <si>
    <t>Insolvency and Reconstruction</t>
    <phoneticPr fontId="2" type="noConversion"/>
  </si>
  <si>
    <t>Outcome:</t>
    <phoneticPr fontId="2" type="noConversion"/>
  </si>
  <si>
    <r>
      <t>It will take at least 3.75 years (</t>
    </r>
    <r>
      <rPr>
        <b/>
        <sz val="12"/>
        <color rgb="FFFF0000"/>
        <rFont val="Arial"/>
        <family val="2"/>
      </rPr>
      <t>approx. 3 years 9 months</t>
    </r>
    <r>
      <rPr>
        <b/>
        <sz val="12"/>
        <color theme="1"/>
        <rFont val="Arial"/>
        <family val="2"/>
      </rPr>
      <t>) (i.e. 120 days x 3.75 years) to complete the 450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</si>
  <si>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 years</t>
    </r>
    <r>
      <rPr>
        <b/>
        <sz val="12"/>
        <color theme="1"/>
        <rFont val="Arial"/>
        <family val="2"/>
      </rPr>
      <t xml:space="preserve"> (i.e.120 days x 5 years) to complete the 600 days practical experience requirement.</t>
    </r>
    <phoneticPr fontId="2" type="noConversion"/>
  </si>
  <si>
    <r>
      <t>It will take at least approx. 6.25 years (</t>
    </r>
    <r>
      <rPr>
        <b/>
        <sz val="12"/>
        <color rgb="FFFF0000"/>
        <rFont val="Arial"/>
        <family val="2"/>
      </rPr>
      <t>approx. 6 years 3 months</t>
    </r>
    <r>
      <rPr>
        <b/>
        <sz val="12"/>
        <color theme="1"/>
        <rFont val="Arial"/>
        <family val="2"/>
      </rPr>
      <t>) (i.e. 120 days x 6.25 years) to complete the 750 days practical experience requirement.</t>
    </r>
    <phoneticPr fontId="2" type="noConversion"/>
  </si>
  <si>
    <t>Total no. of days per year</t>
    <phoneticPr fontId="2" type="noConversion"/>
  </si>
  <si>
    <t>min. working days requirement</t>
    <phoneticPr fontId="2" type="noConversion"/>
  </si>
  <si>
    <t>For part-time worker</t>
    <phoneticPr fontId="2" type="noConversion"/>
  </si>
  <si>
    <t>(3 days per week for 52 weeks)</t>
    <phoneticPr fontId="2" type="noConversion"/>
  </si>
  <si>
    <t>Ratio</t>
    <phoneticPr fontId="2" type="noConversion"/>
  </si>
  <si>
    <r>
      <t xml:space="preserve">with min. of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</si>
  <si>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Scenario 3</t>
    <phoneticPr fontId="2" type="noConversion"/>
  </si>
  <si>
    <t>No. of public holidays (approx. 13-15 days per year):</t>
    <phoneticPr fontId="2" type="noConversion"/>
  </si>
  <si>
    <t xml:space="preserve">Total no. of time off days (Time off / Admin / Sick leave / training / overtime, etc.)  can be taken per year </t>
    <phoneticPr fontId="2" type="noConversion"/>
  </si>
  <si>
    <t>Min. year requirement calculation</t>
    <phoneticPr fontId="2" type="noConversion"/>
  </si>
  <si>
    <t>Ratio</t>
    <phoneticPr fontId="2" type="noConversion"/>
  </si>
  <si>
    <t>working days per year</t>
    <phoneticPr fontId="2" type="noConversion"/>
  </si>
  <si>
    <t>4.5 years = 450 days</t>
    <phoneticPr fontId="2" type="noConversion"/>
  </si>
  <si>
    <t>6 years = 600 days</t>
    <phoneticPr fontId="2" type="noConversion"/>
  </si>
  <si>
    <t>7.5 years = 750 days</t>
    <phoneticPr fontId="2" type="noConversion"/>
  </si>
  <si>
    <t>Scenario 2</t>
    <phoneticPr fontId="2" type="noConversion"/>
  </si>
  <si>
    <t>1)</t>
    <phoneticPr fontId="2" type="noConversion"/>
  </si>
  <si>
    <t>1)</t>
    <phoneticPr fontId="2" type="noConversion"/>
  </si>
  <si>
    <t>2)</t>
    <phoneticPr fontId="2" type="noConversion"/>
  </si>
  <si>
    <t>3)</t>
    <phoneticPr fontId="2" type="noConversion"/>
  </si>
  <si>
    <t>OR</t>
    <phoneticPr fontId="2" type="noConversion"/>
  </si>
  <si>
    <r>
      <t xml:space="preserve">Scenario 2 </t>
    </r>
    <r>
      <rPr>
        <b/>
        <sz val="12"/>
        <color rgb="FFFF0000"/>
        <rFont val="Arial"/>
        <family val="2"/>
      </rPr>
      <t>(Suggested calculation)</t>
    </r>
    <phoneticPr fontId="2" type="noConversion"/>
  </si>
  <si>
    <t>Note:</t>
    <phoneticPr fontId="2" type="noConversion"/>
  </si>
  <si>
    <t>Ratio (130 working days / total working days per year)</t>
    <phoneticPr fontId="2" type="noConversion"/>
  </si>
  <si>
    <t>Ratio (90 working days / total working days per year)</t>
    <phoneticPr fontId="2" type="noConversion"/>
  </si>
  <si>
    <t>Ratio (100 working days / total working days per year)</t>
    <phoneticPr fontId="2" type="noConversion"/>
  </si>
  <si>
    <t>Ratio (120 working days / total working days per year)</t>
    <phoneticPr fontId="2" type="noConversion"/>
  </si>
  <si>
    <t>Strongly encouraged to use new or existing and completed in a timely manner</t>
    <phoneticPr fontId="2" type="noConversion"/>
  </si>
  <si>
    <t>Example 1</t>
    <phoneticPr fontId="2" type="noConversion"/>
  </si>
  <si>
    <t>Length of exp</t>
    <phoneticPr fontId="2" type="noConversion"/>
  </si>
  <si>
    <t>Result:</t>
    <phoneticPr fontId="2" type="noConversion"/>
  </si>
  <si>
    <t>1 year (full time)</t>
    <phoneticPr fontId="2" type="noConversion"/>
  </si>
  <si>
    <t>Case:</t>
    <phoneticPr fontId="2" type="noConversion"/>
  </si>
  <si>
    <t>Working calculation:</t>
    <phoneticPr fontId="2" type="noConversion"/>
  </si>
  <si>
    <t>1.5 year (full time)</t>
    <phoneticPr fontId="2" type="noConversion"/>
  </si>
  <si>
    <t>Example 2</t>
    <phoneticPr fontId="2" type="noConversion"/>
  </si>
  <si>
    <t>Example 3</t>
    <phoneticPr fontId="2" type="noConversion"/>
  </si>
  <si>
    <t>2.5 year (part time)</t>
    <phoneticPr fontId="2" type="noConversion"/>
  </si>
  <si>
    <t>3.2 years (part time)</t>
    <phoneticPr fontId="2" type="noConversion"/>
  </si>
  <si>
    <t>1.5 year (full time old)</t>
    <phoneticPr fontId="2" type="noConversion"/>
  </si>
  <si>
    <t>Year 1</t>
    <phoneticPr fontId="2" type="noConversion"/>
  </si>
  <si>
    <t>Year 1</t>
    <phoneticPr fontId="2" type="noConversion"/>
  </si>
  <si>
    <t>Any limit on the part time arrangement freqency?</t>
    <phoneticPr fontId="2" type="noConversion"/>
  </si>
  <si>
    <t>Year 1.5</t>
    <phoneticPr fontId="2" type="noConversion"/>
  </si>
  <si>
    <t>Year 2</t>
    <phoneticPr fontId="2" type="noConversion"/>
  </si>
  <si>
    <t>Year 3</t>
    <phoneticPr fontId="2" type="noConversion"/>
  </si>
  <si>
    <t>Year 2</t>
    <phoneticPr fontId="2" type="noConversion"/>
  </si>
  <si>
    <t xml:space="preserve">Explanation: </t>
    <phoneticPr fontId="2" type="noConversion"/>
  </si>
  <si>
    <t xml:space="preserve">3) The student has satisfied the min. 3 years of PE throughout the training. </t>
    <phoneticPr fontId="2" type="noConversion"/>
  </si>
  <si>
    <t>Training record is ready for sign off.</t>
    <phoneticPr fontId="2" type="noConversion"/>
  </si>
  <si>
    <t>Year 4</t>
    <phoneticPr fontId="2" type="noConversion"/>
  </si>
  <si>
    <t>1) The student has satisfied the min. 130 days working days requirement per year.</t>
    <phoneticPr fontId="2" type="noConversion"/>
  </si>
  <si>
    <t>Total</t>
    <phoneticPr fontId="2" type="noConversion"/>
  </si>
  <si>
    <t>New Part time calculation</t>
    <phoneticPr fontId="2" type="noConversion"/>
  </si>
  <si>
    <t>Student A holds an accounting degree holder and works part time under new PEF.</t>
    <phoneticPr fontId="2" type="noConversion"/>
  </si>
  <si>
    <t>What will happen if min. requirements not met</t>
    <phoneticPr fontId="2" type="noConversion"/>
  </si>
  <si>
    <t>Year 3</t>
    <phoneticPr fontId="2" type="noConversion"/>
  </si>
  <si>
    <t>Year 4</t>
    <phoneticPr fontId="2" type="noConversion"/>
  </si>
  <si>
    <t>Year 4</t>
    <phoneticPr fontId="2" type="noConversion"/>
  </si>
  <si>
    <t xml:space="preserve">3) The student has satisfied the min. 4 years of full time PE throughout the training. </t>
    <phoneticPr fontId="2" type="noConversion"/>
  </si>
  <si>
    <t>Year 5</t>
    <phoneticPr fontId="2" type="noConversion"/>
  </si>
  <si>
    <t>Year 6</t>
    <phoneticPr fontId="2" type="noConversion"/>
  </si>
  <si>
    <t>Training record is ready for sign off.</t>
    <phoneticPr fontId="2" type="noConversion"/>
  </si>
  <si>
    <t>1) The student has satisfied the min. 90 days working days requirement per year.</t>
    <phoneticPr fontId="2" type="noConversion"/>
  </si>
  <si>
    <t>Technical competences requirements:</t>
    <phoneticPr fontId="2" type="noConversion"/>
  </si>
  <si>
    <t>At least 75 days must be spent in each of the 4 elements.</t>
    <phoneticPr fontId="2" type="noConversion"/>
  </si>
  <si>
    <t>FAER Financial accounting and external reporting</t>
    <phoneticPr fontId="2" type="noConversion"/>
  </si>
  <si>
    <t>AUD Auditing and internal auditing</t>
    <phoneticPr fontId="2" type="noConversion"/>
  </si>
  <si>
    <t>FM Financial management</t>
    <phoneticPr fontId="2" type="noConversion"/>
  </si>
  <si>
    <t>TAX Taxation</t>
    <phoneticPr fontId="2" type="noConversion"/>
  </si>
  <si>
    <t>MA Management Accounting</t>
    <phoneticPr fontId="2" type="noConversion"/>
  </si>
  <si>
    <t>INS Insolvency</t>
    <phoneticPr fontId="2" type="noConversion"/>
  </si>
  <si>
    <t>Min. length of years of PE</t>
  </si>
  <si>
    <t>IT Information management and technology</t>
  </si>
  <si>
    <t>New PEF Part-time calculation</t>
    <phoneticPr fontId="2" type="noConversion"/>
  </si>
  <si>
    <t>Background:</t>
    <phoneticPr fontId="2" type="noConversion"/>
  </si>
  <si>
    <t>Case: Part-time work experience: 3 working days per week (i.e. 24 hours per week)</t>
    <phoneticPr fontId="2" type="noConversion"/>
  </si>
  <si>
    <t>(approx. 245 - 253 per year)</t>
    <phoneticPr fontId="2" type="noConversion"/>
  </si>
  <si>
    <t>(around 13-15 days per year)</t>
    <phoneticPr fontId="2" type="noConversion"/>
  </si>
  <si>
    <t>No. of public holidays:</t>
    <phoneticPr fontId="2" type="noConversion"/>
  </si>
  <si>
    <t>Working Calculation:</t>
    <phoneticPr fontId="2" type="noConversion"/>
  </si>
  <si>
    <t xml:space="preserve">No. of total working days per year </t>
    <phoneticPr fontId="2" type="noConversion"/>
  </si>
  <si>
    <t>Total 365 days or 366 days per</t>
    <phoneticPr fontId="2" type="noConversion"/>
  </si>
  <si>
    <t xml:space="preserve">Min. working days requirement per year </t>
    <phoneticPr fontId="2" type="noConversion"/>
  </si>
  <si>
    <t>Ratio (130 working days per year / total working days per year)</t>
    <phoneticPr fontId="2" type="noConversion"/>
  </si>
  <si>
    <t>Min. year requirement ratio:</t>
    <phoneticPr fontId="2" type="noConversion"/>
  </si>
  <si>
    <t>Min. working days per year requirement ratio:</t>
    <phoneticPr fontId="2" type="noConversion"/>
  </si>
  <si>
    <t xml:space="preserve">For full time worker </t>
    <phoneticPr fontId="2" type="noConversion"/>
  </si>
  <si>
    <t>Ratio is way higher than full-time requirement above.</t>
    <phoneticPr fontId="2" type="noConversion"/>
  </si>
  <si>
    <t>Notes / Comments</t>
    <phoneticPr fontId="2" type="noConversion"/>
  </si>
  <si>
    <t>(3 days per week for 52 weeks)</t>
    <phoneticPr fontId="2" type="noConversion"/>
  </si>
  <si>
    <t>Max. calculation (Note: Round to 2 decimal places and the closest end of month) (e.g. 7.8 months = count as 8 months; 7.3 months = count as 7 months)</t>
    <phoneticPr fontId="2" type="noConversion"/>
  </si>
  <si>
    <t>----&gt; Seems too harsh for part-time workers to follow the full-time minimum working days requirements.</t>
    <phoneticPr fontId="2" type="noConversion"/>
  </si>
  <si>
    <t>Case: Part-time work experience: 3 days per week (i.e. 24 hours per week)</t>
    <phoneticPr fontId="2" type="noConversion"/>
  </si>
  <si>
    <r>
      <t xml:space="preserve">Assume min. of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working days per year </t>
    </r>
    <phoneticPr fontId="2" type="noConversion"/>
  </si>
  <si>
    <t>Part time workers working days per year</t>
    <phoneticPr fontId="2" type="noConversion"/>
  </si>
  <si>
    <t>Suggested min. year requirement ratio 1:</t>
    <phoneticPr fontId="2" type="noConversion"/>
  </si>
  <si>
    <t>Suggested min. year requirement ratio 2:</t>
    <phoneticPr fontId="2" type="noConversion"/>
  </si>
  <si>
    <t xml:space="preserve">Reference site to research on public holidays and business working days in Hong Kong per year: </t>
    <phoneticPr fontId="2" type="noConversion"/>
  </si>
  <si>
    <t>https://www.gov.hk/tc/about/abouthk/holiday/</t>
    <phoneticPr fontId="2" type="noConversion"/>
  </si>
  <si>
    <t>Step 1:</t>
    <phoneticPr fontId="2" type="noConversion"/>
  </si>
  <si>
    <t>Step 2:</t>
    <phoneticPr fontId="2" type="noConversion"/>
  </si>
  <si>
    <t>Step 2:</t>
    <phoneticPr fontId="2" type="noConversion"/>
  </si>
  <si>
    <t>Step 3:</t>
    <phoneticPr fontId="2" type="noConversion"/>
  </si>
  <si>
    <t>Calculate remaining working days to be achieved under new PEF (part time).</t>
    <phoneticPr fontId="2" type="noConversion"/>
  </si>
  <si>
    <t>Calculate min. length of years requirement by using the 100 days (suggested days to be used for min. years calculation).</t>
    <phoneticPr fontId="2" type="noConversion"/>
  </si>
  <si>
    <t>New PEF (Full time transfer to part time work)</t>
    <phoneticPr fontId="2" type="noConversion"/>
  </si>
  <si>
    <t>Year 1</t>
    <phoneticPr fontId="2" type="noConversion"/>
  </si>
  <si>
    <t>The student transfer to part-time work at the beginning of Year 2.</t>
    <phoneticPr fontId="2" type="noConversion"/>
  </si>
  <si>
    <t>Total no. of required working days</t>
    <phoneticPr fontId="2" type="noConversion"/>
  </si>
  <si>
    <t>Total no. of required working days</t>
    <phoneticPr fontId="2" type="noConversion"/>
  </si>
  <si>
    <t>Working days achieved during full time work</t>
    <phoneticPr fontId="2" type="noConversion"/>
  </si>
  <si>
    <t>Working days to be achieved under part time work</t>
    <phoneticPr fontId="2" type="noConversion"/>
  </si>
  <si>
    <t>part-time working days used for min. years calculation</t>
    <phoneticPr fontId="2" type="noConversion"/>
  </si>
  <si>
    <t>min. years required to attain remaining part time PE</t>
    <phoneticPr fontId="2" type="noConversion"/>
  </si>
  <si>
    <t>Step 1</t>
    <phoneticPr fontId="2" type="noConversion"/>
  </si>
  <si>
    <t>Step 2</t>
    <phoneticPr fontId="2" type="noConversion"/>
  </si>
  <si>
    <t>Working days (full time)</t>
    <phoneticPr fontId="2" type="noConversion"/>
  </si>
  <si>
    <t>Student A is a non-degree accounting diploma holder and is an ACCA member and who works part time under new PEF.</t>
    <phoneticPr fontId="2" type="noConversion"/>
  </si>
  <si>
    <t>Working days (New-full time)</t>
    <phoneticPr fontId="2" type="noConversion"/>
  </si>
  <si>
    <t>Student A is a non-degree accounting diploma holder and is an ACCA member. He works full time and has to transfer to work part-time under new PEF.</t>
    <phoneticPr fontId="2" type="noConversion"/>
  </si>
  <si>
    <t>Total</t>
    <phoneticPr fontId="2" type="noConversion"/>
  </si>
  <si>
    <t>Year 2</t>
    <phoneticPr fontId="2" type="noConversion"/>
  </si>
  <si>
    <t>Year 2.6</t>
    <phoneticPr fontId="2" type="noConversion"/>
  </si>
  <si>
    <t>The student transfers to part-time work after Year 2.6.</t>
    <phoneticPr fontId="2" type="noConversion"/>
  </si>
  <si>
    <t>The student transfers to part-time work after Year 1.5.</t>
    <phoneticPr fontId="2" type="noConversion"/>
  </si>
  <si>
    <t>Student A holds an accounting degree holder and works part time and has to transfer to work full time under new PEF.</t>
    <phoneticPr fontId="2" type="noConversion"/>
  </si>
  <si>
    <t>Calculate remaining working days to be achieved under new PEF (full time).</t>
    <phoneticPr fontId="2" type="noConversion"/>
  </si>
  <si>
    <t>Working days (New part time)</t>
    <phoneticPr fontId="2" type="noConversion"/>
  </si>
  <si>
    <t>Year 2.5</t>
    <phoneticPr fontId="2" type="noConversion"/>
  </si>
  <si>
    <t>The student transfers to work full time after Year 2.5.</t>
    <phoneticPr fontId="2" type="noConversion"/>
  </si>
  <si>
    <t>Working days achieved during part time work</t>
    <phoneticPr fontId="2" type="noConversion"/>
  </si>
  <si>
    <t>Working days to be achieved under full time work</t>
    <phoneticPr fontId="2" type="noConversion"/>
  </si>
  <si>
    <t>full time working days used for min. years calculation</t>
    <phoneticPr fontId="2" type="noConversion"/>
  </si>
  <si>
    <t>min. years required to attain remaining full time PE</t>
    <phoneticPr fontId="2" type="noConversion"/>
  </si>
  <si>
    <t>Total</t>
    <phoneticPr fontId="2" type="noConversion"/>
  </si>
  <si>
    <t>The student transfers to work full time after Year 3.2</t>
    <phoneticPr fontId="2" type="noConversion"/>
  </si>
  <si>
    <t>Year 3</t>
    <phoneticPr fontId="2" type="noConversion"/>
  </si>
  <si>
    <t>Year 3.2</t>
    <phoneticPr fontId="2" type="noConversion"/>
  </si>
  <si>
    <t>Example 1</t>
    <phoneticPr fontId="2" type="noConversion"/>
  </si>
  <si>
    <t>New PEF (Part time transfer to full time work)</t>
    <phoneticPr fontId="2" type="noConversion"/>
  </si>
  <si>
    <t>Working days (Old full time)</t>
    <phoneticPr fontId="2" type="noConversion"/>
  </si>
  <si>
    <t>Total</t>
    <phoneticPr fontId="2" type="noConversion"/>
  </si>
  <si>
    <t>Old working days</t>
    <phoneticPr fontId="2" type="noConversion"/>
  </si>
  <si>
    <t xml:space="preserve">Ratio </t>
    <phoneticPr fontId="2" type="noConversion"/>
  </si>
  <si>
    <t>new working days</t>
    <phoneticPr fontId="2" type="noConversion"/>
  </si>
  <si>
    <t>Working days to be achieved under new part time work</t>
    <phoneticPr fontId="2" type="noConversion"/>
  </si>
  <si>
    <t>Working days already achieved under old PEF full time work</t>
    <phoneticPr fontId="2" type="noConversion"/>
  </si>
  <si>
    <t>Year 1</t>
    <phoneticPr fontId="2" type="noConversion"/>
  </si>
  <si>
    <t>Year 2</t>
    <phoneticPr fontId="2" type="noConversion"/>
  </si>
  <si>
    <t>Year 2.2</t>
    <phoneticPr fontId="2" type="noConversion"/>
  </si>
  <si>
    <t>Full time (old PEF) transfer to part time (new PEF)</t>
    <phoneticPr fontId="2" type="noConversion"/>
  </si>
  <si>
    <t>Days for Time off/sick leave/exam leave, etc.</t>
    <phoneticPr fontId="2" type="noConversion"/>
  </si>
  <si>
    <t>3 years = 500 days</t>
    <phoneticPr fontId="2" type="noConversion"/>
  </si>
  <si>
    <t>4 years = 670 days</t>
    <phoneticPr fontId="2" type="noConversion"/>
  </si>
  <si>
    <t>5 years = 830 days</t>
    <phoneticPr fontId="2" type="noConversion"/>
  </si>
  <si>
    <t xml:space="preserve">Total no. of time off days (Time off / Admin / Sick leave, etc.)  can be taken per year </t>
    <phoneticPr fontId="2" type="noConversion"/>
  </si>
  <si>
    <t>Ratio (167 working days per year / total working days per year)</t>
    <phoneticPr fontId="2" type="noConversion"/>
  </si>
  <si>
    <r>
      <t xml:space="preserve">Assume working </t>
    </r>
    <r>
      <rPr>
        <b/>
        <sz val="12"/>
        <color rgb="FFFF0000"/>
        <rFont val="Arial"/>
        <family val="2"/>
      </rPr>
      <t>130</t>
    </r>
    <r>
      <rPr>
        <b/>
        <sz val="12"/>
        <color theme="1"/>
        <rFont val="Arial"/>
        <family val="2"/>
      </rPr>
      <t xml:space="preserve"> working days per year (same as full time requirement)</t>
    </r>
    <phoneticPr fontId="2" type="noConversion"/>
  </si>
  <si>
    <t>min 130 working days per year to satisfy new PEF requirements</t>
    <phoneticPr fontId="2" type="noConversion"/>
  </si>
  <si>
    <t>Ratio (167 working days / total working days per year)</t>
    <phoneticPr fontId="2" type="noConversion"/>
  </si>
  <si>
    <r>
      <t>It will take max. approx. 5.15 years (</t>
    </r>
    <r>
      <rPr>
        <b/>
        <sz val="12"/>
        <color rgb="FFFF0000"/>
        <rFont val="Arial"/>
        <family val="2"/>
      </rPr>
      <t>approx. 5 years 2 months</t>
    </r>
    <r>
      <rPr>
        <b/>
        <sz val="12"/>
        <color theme="1"/>
        <rFont val="Arial"/>
        <family val="2"/>
      </rPr>
      <t>) (i.e.130 days x 5.15 years) to complete the 670 days practical experience requirement.</t>
    </r>
    <phoneticPr fontId="2" type="noConversion"/>
  </si>
  <si>
    <r>
      <t>It will take max. 3.85 years (</t>
    </r>
    <r>
      <rPr>
        <b/>
        <sz val="12"/>
        <color rgb="FFFF0000"/>
        <rFont val="Arial"/>
        <family val="2"/>
      </rPr>
      <t>approx. 3 years 10 months</t>
    </r>
    <r>
      <rPr>
        <b/>
        <sz val="12"/>
        <color theme="1"/>
        <rFont val="Arial"/>
        <family val="2"/>
      </rPr>
      <t>)(i.e. 130 days x 3.85 years) to complete the 500 days practical experience requirement.</t>
    </r>
    <phoneticPr fontId="2" type="noConversion"/>
  </si>
  <si>
    <r>
      <t>It will take max. approx. 6.38 years (</t>
    </r>
    <r>
      <rPr>
        <b/>
        <sz val="12"/>
        <color rgb="FFFF0000"/>
        <rFont val="Arial"/>
        <family val="2"/>
      </rPr>
      <t>approx. 6 years 5 months</t>
    </r>
    <r>
      <rPr>
        <b/>
        <sz val="12"/>
        <color theme="1"/>
        <rFont val="Arial"/>
        <family val="2"/>
      </rPr>
      <t>) (i.e. 130 days x 6.38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</si>
  <si>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6.7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6.7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</si>
  <si>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8.3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</si>
  <si>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100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</si>
  <si>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t>5 years = 500 days</t>
    <phoneticPr fontId="2" type="noConversion"/>
  </si>
  <si>
    <t>6.7 years = 670 days</t>
    <phoneticPr fontId="2" type="noConversion"/>
  </si>
  <si>
    <t>8.3years = 830 days</t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</si>
  <si>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4.17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4.17 </t>
    </r>
    <r>
      <rPr>
        <b/>
        <sz val="12"/>
        <color theme="1"/>
        <rFont val="Arial"/>
        <family val="2"/>
      </rPr>
      <t>years) to complete the 500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</si>
  <si>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>5.58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</t>
    </r>
    <r>
      <rPr>
        <b/>
        <sz val="12"/>
        <color rgb="FFFF0000"/>
        <rFont val="Arial"/>
        <family val="2"/>
      </rPr>
      <t xml:space="preserve"> 5.58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</si>
  <si>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at least </t>
    </r>
    <r>
      <rPr>
        <b/>
        <sz val="12"/>
        <color rgb="FFFF0000"/>
        <rFont val="Arial"/>
        <family val="2"/>
      </rPr>
      <t xml:space="preserve">6.91 </t>
    </r>
    <r>
      <rPr>
        <b/>
        <sz val="12"/>
        <color theme="1"/>
        <rFont val="Arial"/>
        <family val="2"/>
      </rPr>
      <t xml:space="preserve">years (i.e. </t>
    </r>
    <r>
      <rPr>
        <b/>
        <sz val="12"/>
        <color rgb="FFFF0000"/>
        <rFont val="Arial"/>
        <family val="2"/>
      </rPr>
      <t>120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6.91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</si>
  <si>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 xml:space="preserve">Total no. of time off days (Time off / Admin / Sick leave, etc.)  can be taken per year </t>
    <phoneticPr fontId="2" type="noConversion"/>
  </si>
  <si>
    <t>4.17 years = 500 days</t>
    <phoneticPr fontId="2" type="noConversion"/>
  </si>
  <si>
    <t>5.58 years = 670 days</t>
    <phoneticPr fontId="2" type="noConversion"/>
  </si>
  <si>
    <t>6.91 years = 830 days</t>
    <phoneticPr fontId="2" type="noConversion"/>
  </si>
  <si>
    <t>https://www.timeanddate.com/date/workdays.html</t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</si>
  <si>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 xml:space="preserve">90 </t>
    </r>
    <r>
      <rPr>
        <b/>
        <sz val="12"/>
        <color theme="1"/>
        <rFont val="Arial"/>
        <family val="2"/>
      </rPr>
      <t xml:space="preserve">days x </t>
    </r>
    <r>
      <rPr>
        <b/>
        <sz val="12"/>
        <color rgb="FFFF0000"/>
        <rFont val="Arial"/>
        <family val="2"/>
      </rPr>
      <t>5.56</t>
    </r>
    <r>
      <rPr>
        <b/>
        <sz val="12"/>
        <color theme="1"/>
        <rFont val="Arial"/>
        <family val="2"/>
      </rPr>
      <t xml:space="preserve"> years) to complete the 500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</si>
  <si>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7.44</t>
    </r>
    <r>
      <rPr>
        <b/>
        <sz val="12"/>
        <rFont val="Arial"/>
        <family val="2"/>
      </rPr>
      <t xml:space="preserve"> years</t>
    </r>
    <r>
      <rPr>
        <b/>
        <sz val="12"/>
        <color theme="1"/>
        <rFont val="Arial"/>
        <family val="2"/>
      </rPr>
      <t xml:space="preserve">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 xml:space="preserve">7.44 </t>
    </r>
    <r>
      <rPr>
        <b/>
        <sz val="12"/>
        <color theme="1"/>
        <rFont val="Arial"/>
        <family val="2"/>
      </rPr>
      <t>years) to complete the 670 days practical experience requirement.</t>
    </r>
    <phoneticPr fontId="2" type="noConversion"/>
  </si>
  <si>
    <r>
      <t xml:space="preserve">It will take max.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 (i.e. </t>
    </r>
    <r>
      <rPr>
        <b/>
        <sz val="12"/>
        <color rgb="FFFF0000"/>
        <rFont val="Arial"/>
        <family val="2"/>
      </rPr>
      <t>90</t>
    </r>
    <r>
      <rPr>
        <b/>
        <sz val="12"/>
        <color theme="1"/>
        <rFont val="Arial"/>
        <family val="2"/>
      </rPr>
      <t xml:space="preserve"> days x </t>
    </r>
    <r>
      <rPr>
        <b/>
        <sz val="12"/>
        <color rgb="FFFF0000"/>
        <rFont val="Arial"/>
        <family val="2"/>
      </rPr>
      <t>9.22</t>
    </r>
    <r>
      <rPr>
        <b/>
        <sz val="12"/>
        <color theme="1"/>
        <rFont val="Arial"/>
        <family val="2"/>
      </rPr>
      <t xml:space="preserve"> years) to complete the 830 days practical experience requirement.</t>
    </r>
    <phoneticPr fontId="2" type="noConversion"/>
  </si>
  <si>
    <t>Comment: Reasonable approach for Suggested outcome 1 (use 100 days to determine the min. number of years) which follows the pro-rata basis calculation from the full-time requirements and it is relatively easier to calculate.</t>
    <phoneticPr fontId="2" type="noConversion"/>
  </si>
  <si>
    <t>Max. calculation (using min. 90 days per year requirement):</t>
    <phoneticPr fontId="2" type="noConversion"/>
  </si>
  <si>
    <t>Ratio:</t>
    <phoneticPr fontId="2" type="noConversion"/>
  </si>
  <si>
    <t>2) The student has satisfied total 500 working days requirement throughout the training.</t>
    <phoneticPr fontId="2" type="noConversion"/>
  </si>
  <si>
    <t>This student has completed 670 working days within 4 years which satisfies the min. working days and working years experience.</t>
    <phoneticPr fontId="2" type="noConversion"/>
  </si>
  <si>
    <t>2) The student has satisfied total 670 working days requirement throughout the training.</t>
    <phoneticPr fontId="2" type="noConversion"/>
  </si>
  <si>
    <t>Working days (part-time)</t>
    <phoneticPr fontId="2" type="noConversion"/>
  </si>
  <si>
    <t>This student has completed 503 working days within 3 years which satisfies the min. working days and working years experience.</t>
    <phoneticPr fontId="2" type="noConversion"/>
  </si>
  <si>
    <t xml:space="preserve">3) The student has satisfied the min. 5 years of part time PE throughout the training. </t>
    <phoneticPr fontId="2" type="noConversion"/>
  </si>
  <si>
    <t>Year 7</t>
    <phoneticPr fontId="2" type="noConversion"/>
  </si>
  <si>
    <t>This student has completed 513 working days within 5 years which satisfies the min. working days and working years experience.</t>
    <phoneticPr fontId="2" type="noConversion"/>
  </si>
  <si>
    <t>This student has completed 701 working days within 6.7 years which satisfies the min. working days and working years experience.</t>
    <phoneticPr fontId="2" type="noConversion"/>
  </si>
  <si>
    <t>Working days (part- time)</t>
    <phoneticPr fontId="2" type="noConversion"/>
  </si>
  <si>
    <t xml:space="preserve">3) The student has satisfied the min. 6.7 years of part time PE throughout the training. </t>
    <phoneticPr fontId="2" type="noConversion"/>
  </si>
  <si>
    <t>Student A holds an accounting degree holder and works full time and has to transfer to work part-time under new PEF.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</si>
  <si>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3.46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</si>
  <si>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3.46 years (part time)</t>
    <phoneticPr fontId="2" type="noConversion"/>
  </si>
  <si>
    <t>i.e.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</si>
  <si>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4.52 </t>
    </r>
    <r>
      <rPr>
        <sz val="12"/>
        <color theme="1"/>
        <rFont val="Arial"/>
        <family val="2"/>
      </rPr>
      <t>years to complete remaining part time PE</t>
    </r>
    <phoneticPr fontId="2" type="noConversion"/>
  </si>
  <si>
    <t>4.52 years = 4 years 6 months</t>
    <phoneticPr fontId="2" type="noConversion"/>
  </si>
  <si>
    <t>3.46 years = 3 years 6 months (rounded)</t>
    <phoneticPr fontId="2" type="noConversion"/>
  </si>
  <si>
    <t>Total min. years needed = 4.46 years  (4 years 6 months)</t>
    <phoneticPr fontId="2" type="noConversion"/>
  </si>
  <si>
    <t>4.52 years (part time)</t>
    <phoneticPr fontId="2" type="noConversion"/>
  </si>
  <si>
    <t>Student A holds an accounting degree holder and works full time and has to transfer to work part-time under new PEF.</t>
    <phoneticPr fontId="2" type="noConversion"/>
  </si>
  <si>
    <t>2.6 years (full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</si>
  <si>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1.87</t>
    </r>
    <r>
      <rPr>
        <sz val="12"/>
        <color theme="1"/>
        <rFont val="Arial"/>
        <family val="2"/>
      </rPr>
      <t xml:space="preserve"> years to complete remaining part time PE</t>
    </r>
    <phoneticPr fontId="2" type="noConversion"/>
  </si>
  <si>
    <t>1.87 year = 1 year and 10 months</t>
    <phoneticPr fontId="2" type="noConversion"/>
  </si>
  <si>
    <t>Total min. years needed = 4.47 years (4 years 5 months)</t>
    <phoneticPr fontId="2" type="noConversion"/>
  </si>
  <si>
    <t>Total min. years needed = 6.02 years (6 years)</t>
    <phoneticPr fontId="2" type="noConversion"/>
  </si>
  <si>
    <t>1.87 years (part time)</t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</si>
  <si>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1.63</t>
    </r>
    <r>
      <rPr>
        <sz val="12"/>
        <color theme="1"/>
        <rFont val="Arial"/>
        <family val="2"/>
      </rPr>
      <t xml:space="preserve"> years to complete PE</t>
    </r>
    <phoneticPr fontId="2" type="noConversion"/>
  </si>
  <si>
    <t>1.63 years = 1 year 8 months</t>
    <phoneticPr fontId="2" type="noConversion"/>
  </si>
  <si>
    <t>Total min. years needed = 4.13 years (4 years 2 months)</t>
    <phoneticPr fontId="2" type="noConversion"/>
  </si>
  <si>
    <t>1.63 years (full time)</t>
    <phoneticPr fontId="2" type="noConversion"/>
  </si>
  <si>
    <t>Require min. of 1.12 year to complete PE</t>
    <phoneticPr fontId="2" type="noConversion"/>
  </si>
  <si>
    <t>1.12 years = 1 year 1 month</t>
    <phoneticPr fontId="2" type="noConversion"/>
  </si>
  <si>
    <t>1.12 years (full time)</t>
    <phoneticPr fontId="2" type="noConversion"/>
  </si>
  <si>
    <t>Total min. years needed = 4.32 years (4 years 3 months)</t>
    <phoneticPr fontId="2" type="noConversion"/>
  </si>
  <si>
    <t>Student A holds an accounting degree holder and works full time under old PEF and has to transfer to work full time under new PEF.</t>
    <phoneticPr fontId="2" type="noConversion"/>
  </si>
  <si>
    <t>Calculate remaining working days to be achieved under new PEF (part time).</t>
    <phoneticPr fontId="2" type="noConversion"/>
  </si>
  <si>
    <r>
      <rPr>
        <b/>
        <sz val="12"/>
        <color rgb="FFFF0000"/>
        <rFont val="Arial"/>
        <family val="2"/>
      </rPr>
      <t xml:space="preserve">317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</si>
  <si>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 xml:space="preserve">3.17 </t>
    </r>
    <r>
      <rPr>
        <sz val="12"/>
        <color theme="1"/>
        <rFont val="Arial"/>
        <family val="2"/>
      </rPr>
      <t>years to complete the remaining part time PE</t>
    </r>
    <phoneticPr fontId="2" type="noConversion"/>
  </si>
  <si>
    <t>3.17 years (3 years 2 months)</t>
    <phoneticPr fontId="2" type="noConversion"/>
  </si>
  <si>
    <t>Total min. years needed = 4.67 years (4 years 8 months)</t>
    <phoneticPr fontId="2" type="noConversion"/>
  </si>
  <si>
    <t>3.17 years (part time new)</t>
    <phoneticPr fontId="2" type="noConversion"/>
  </si>
  <si>
    <t>At year 2.2, the student transfers to part-time work under new PEF.</t>
    <phoneticPr fontId="2" type="noConversion"/>
  </si>
  <si>
    <t>At Year 1.5, the student transfers to part-time work under new PEF.</t>
    <phoneticPr fontId="2" type="noConversion"/>
  </si>
  <si>
    <r>
      <rPr>
        <b/>
        <sz val="12"/>
        <color rgb="FFFF0000"/>
        <rFont val="Arial"/>
        <family val="2"/>
      </rPr>
      <t xml:space="preserve">192 </t>
    </r>
    <r>
      <rPr>
        <b/>
        <sz val="12"/>
        <color theme="1"/>
        <rFont val="Arial"/>
        <family val="2"/>
      </rPr>
      <t>working days to be attained under new part time work.</t>
    </r>
    <phoneticPr fontId="2" type="noConversion"/>
  </si>
  <si>
    <r>
      <t xml:space="preserve">Require min. of </t>
    </r>
    <r>
      <rPr>
        <b/>
        <sz val="12"/>
        <color rgb="FFFF0000"/>
        <rFont val="Arial"/>
        <family val="2"/>
      </rPr>
      <t>1.92</t>
    </r>
    <r>
      <rPr>
        <sz val="12"/>
        <color theme="1"/>
        <rFont val="Arial"/>
        <family val="2"/>
      </rPr>
      <t xml:space="preserve"> years to complete the remaining part time PE</t>
    </r>
    <phoneticPr fontId="2" type="noConversion"/>
  </si>
  <si>
    <t>1.92 years (1 year 11 months)</t>
    <phoneticPr fontId="2" type="noConversion"/>
  </si>
  <si>
    <t>Total min. years needed = 4.12 years (4 years 1 month)</t>
    <phoneticPr fontId="2" type="noConversion"/>
  </si>
  <si>
    <t>2.2 year (full time old)</t>
    <phoneticPr fontId="2" type="noConversion"/>
  </si>
  <si>
    <t>1.92 years (part time new)</t>
    <phoneticPr fontId="2" type="noConversion"/>
  </si>
  <si>
    <t>Q: Is this min. 130 working days requirement achievable for part-time workers?</t>
    <phoneticPr fontId="2" type="noConversion"/>
  </si>
  <si>
    <t>Comment: Use min. 90 days per year requirement for part-time workers seems more reasonable.</t>
    <phoneticPr fontId="2" type="noConversion"/>
  </si>
  <si>
    <t>Min. length of years requirement:</t>
    <phoneticPr fontId="2" type="noConversion"/>
  </si>
  <si>
    <t>Suggested outcome 1 (using 100 days as min. length of years requirement)</t>
    <phoneticPr fontId="2" type="noConversion"/>
  </si>
  <si>
    <t>Suggested outcome 2 (using 120 days as min. length of years requirement)</t>
    <phoneticPr fontId="2" type="noConversion"/>
  </si>
  <si>
    <t>Min. number of days per year requirement:</t>
    <phoneticPr fontId="2" type="noConversion"/>
  </si>
  <si>
    <t>Apply new full time working days per year (167 days) to calculate the min. length of years requirement.</t>
    <phoneticPr fontId="2" type="noConversion"/>
  </si>
  <si>
    <t>Convert working days already attained under old PEF to new working days with the 0.83 ratio (i.e. 1 Old PEF day = 0.83 new PEF day)</t>
    <phoneticPr fontId="2" type="noConversion"/>
  </si>
  <si>
    <t>Apply new part time time working days per year (100 days) to calculate the min. length of years requirement.</t>
    <phoneticPr fontId="2" type="noConversion"/>
  </si>
  <si>
    <t>i.e.</t>
    <phoneticPr fontId="2" type="noConversion"/>
  </si>
  <si>
    <t xml:space="preserve">No. It is suggested to use min. of 90 working days per year for students working part-time.
For counting part-time min. number of year requirement, it is suggested to use 100 working days.
See Analysis below.
</t>
  </si>
  <si>
    <t>Working calculation (Use Conversion Rule 3a):</t>
  </si>
  <si>
    <t>Working calculation (Use Conversion Rule 3b):</t>
  </si>
  <si>
    <t>Working calculation (Use Conversion Rule 4b Case B):</t>
  </si>
  <si>
    <t>Training records is ready for sign off.</t>
    <phoneticPr fontId="2" type="noConversion"/>
  </si>
  <si>
    <t>Year 1 &amp; 6 months</t>
    <phoneticPr fontId="2" type="noConversion"/>
  </si>
  <si>
    <t>1 year</t>
    <phoneticPr fontId="2" type="noConversion"/>
  </si>
  <si>
    <t>6 months</t>
    <phoneticPr fontId="2" type="noConversion"/>
  </si>
  <si>
    <t>Part-time work requirements: 3 working days per week (i.e. 24 hours per week)</t>
    <phoneticPr fontId="2" type="noConversion"/>
  </si>
  <si>
    <t>Full time work requirements: 5 working days per week (i.e. 40 hours per week)</t>
    <phoneticPr fontId="2" type="noConversion"/>
  </si>
  <si>
    <t>Current PEF :</t>
  </si>
  <si>
    <t xml:space="preserve">Revised PEF (Full time &amp; Part time calculations) - No transition </t>
  </si>
  <si>
    <t>Revised PEF (Full time &amp; Part time calculations should be the same)</t>
  </si>
  <si>
    <t>Student A holds an accounting degree holder and works full time under the revised PEF.</t>
  </si>
  <si>
    <t>Student A is a non-degree accounting diploma holder and is an ACCA member and who works full time under the revised PEF.</t>
  </si>
  <si>
    <t>No. of Working Days acquired</t>
  </si>
  <si>
    <t>FAR1</t>
  </si>
  <si>
    <t>Map to competence of the revised PEF</t>
  </si>
  <si>
    <t>FA Fundamentals of accounting</t>
  </si>
  <si>
    <t>(to be specified)</t>
  </si>
  <si>
    <t>GRI2</t>
  </si>
  <si>
    <t>Able to operate or design tax-related systems</t>
  </si>
  <si>
    <t>Unit 1</t>
  </si>
  <si>
    <t>T1</t>
  </si>
  <si>
    <t>T2</t>
  </si>
  <si>
    <t>Able to evaluate and develop accounting and information systems which meets an organization's financial reporting requirements</t>
  </si>
  <si>
    <t>Able to implement audit procedures</t>
  </si>
  <si>
    <t>Unit 8</t>
  </si>
  <si>
    <t>Level attained</t>
  </si>
  <si>
    <t>Independent</t>
  </si>
  <si>
    <t>Supervised</t>
  </si>
  <si>
    <t>* Other competencies</t>
  </si>
  <si>
    <t>Able to identify and apply relevant accounting standards and pronouncements to a given task or situation relating to the preparation, presentation and reporting of information, both past and projected</t>
  </si>
  <si>
    <t>No. of working days of competences to be reviewed and approved</t>
  </si>
  <si>
    <t>FAR Financial Accounting and Reporting</t>
  </si>
  <si>
    <t>AA Audit and Assurance</t>
  </si>
  <si>
    <t>T Taxation</t>
  </si>
  <si>
    <t>MF Management Accounting, Finance and Financial Management</t>
  </si>
  <si>
    <t>GRI Governance, Risk Management and Internal Control</t>
  </si>
  <si>
    <t>IBR1 Information technology, Business Strategy and Management, and Insolvency and Reconstruction</t>
  </si>
  <si>
    <t>Instructions:</t>
  </si>
  <si>
    <t>* To be reviewed and approved by the Institute for transition under the revised PEF</t>
  </si>
  <si>
    <t>3. Any other competencies attained under current PE Framework are required to be reviewed and approved by the Institute before transition to the revised PE Framework.</t>
  </si>
  <si>
    <t>Student's academic qualification</t>
  </si>
  <si>
    <t>Approved degree holders or HKIAAT graduates who have passed the QP</t>
  </si>
  <si>
    <t>Approved accountancy diploma holders</t>
  </si>
  <si>
    <t>Holders of other academic qualifications</t>
  </si>
  <si>
    <t>Each PE component requires min. 100 working days (Basic + Principal count together) by the end of training period.</t>
  </si>
  <si>
    <t>Each PE component needs to have at least 3 competence units achieved in any Principal component or in a combination of Principal components.</t>
  </si>
  <si>
    <t>Require to demonstrate effectiveness in a total of 4 elements, including 1 Financial Accounting and Reporting element.</t>
  </si>
  <si>
    <t>Year 1</t>
  </si>
  <si>
    <t>Year 2</t>
  </si>
  <si>
    <t>Year 3</t>
  </si>
  <si>
    <t>Year 4</t>
  </si>
  <si>
    <t>Year 5</t>
  </si>
  <si>
    <t>Sum
1-5</t>
  </si>
  <si>
    <t>Proficiency level</t>
  </si>
  <si>
    <t>* Other competences</t>
  </si>
  <si>
    <t>Year of Practical Experience Period ^</t>
  </si>
  <si>
    <t>Under Current PE Framework</t>
  </si>
  <si>
    <t>Key requirments:</t>
  </si>
  <si>
    <t xml:space="preserve">Total no. of Working Days attained </t>
  </si>
  <si>
    <t xml:space="preserve">No. of Working Days attained under current PEF </t>
  </si>
  <si>
    <t>No. of Working Days required per year</t>
  </si>
  <si>
    <r>
      <t xml:space="preserve">1) Attain at least </t>
    </r>
    <r>
      <rPr>
        <b/>
        <sz val="12"/>
        <color theme="1"/>
        <rFont val="Arial"/>
        <family val="2"/>
      </rPr>
      <t>500</t>
    </r>
    <r>
      <rPr>
        <sz val="12"/>
        <color theme="1"/>
        <rFont val="Arial"/>
        <family val="2"/>
      </rPr>
      <t xml:space="preserve"> Working Days in 3 years (i.e. 670 Working Days in 4-year case/ 830 Working Days in 5-year case) ^;</t>
    </r>
  </si>
  <si>
    <t>Conversion Table for the Current and Revised Practical Experience Framework
Competence Mapping and Prorated Working Days</t>
  </si>
  <si>
    <r>
      <t xml:space="preserve">2) Attain at least </t>
    </r>
    <r>
      <rPr>
        <b/>
        <sz val="12"/>
        <color theme="1"/>
        <rFont val="Arial"/>
        <family val="2"/>
      </rPr>
      <t>130</t>
    </r>
    <r>
      <rPr>
        <sz val="12"/>
        <color theme="1"/>
        <rFont val="Arial"/>
        <family val="2"/>
      </rPr>
      <t xml:space="preserve"> Working Days of practical experience each year;</t>
    </r>
  </si>
  <si>
    <r>
      <t xml:space="preserve">3) Achieve in a total of </t>
    </r>
    <r>
      <rPr>
        <b/>
        <sz val="12"/>
        <color theme="1"/>
        <rFont val="Arial"/>
        <family val="2"/>
      </rPr>
      <t>4 elements</t>
    </r>
    <r>
      <rPr>
        <sz val="12"/>
        <color theme="1"/>
        <rFont val="Arial"/>
        <family val="2"/>
      </rPr>
      <t>, including one element in Financial Accounting and Reporting;</t>
    </r>
  </si>
  <si>
    <r>
      <t xml:space="preserve">5) A Working Day is considered to be </t>
    </r>
    <r>
      <rPr>
        <b/>
        <sz val="12"/>
        <color theme="1"/>
        <rFont val="Arial"/>
        <family val="2"/>
      </rPr>
      <t>8 working hours</t>
    </r>
    <r>
      <rPr>
        <sz val="12"/>
        <color theme="1"/>
        <rFont val="Arial"/>
        <family val="2"/>
      </rPr>
      <t xml:space="preserve"> and working hours can be accumulated.</t>
    </r>
  </si>
  <si>
    <t>Prorated No. of  Working Days</t>
  </si>
  <si>
    <t xml:space="preserve">Prorated no. of Working Days attained </t>
  </si>
  <si>
    <t>Under the Revised PE Framework</t>
  </si>
  <si>
    <t>Remaining No. of Working Days to acquire</t>
  </si>
  <si>
    <t>Comparison of Current and Revised Practical Experience Framework Requirements</t>
  </si>
  <si>
    <t>Required minimum 150 Working Days per year</t>
  </si>
  <si>
    <t>Required minimum 130 Working Days per year</t>
  </si>
  <si>
    <t>Time requirements:</t>
  </si>
  <si>
    <t>Minimum length of years:</t>
  </si>
  <si>
    <t>Must complete either the "Fundamental of accounting" (Basic 4 units) OR "Financial accounting and external reporting" (Basic 4 units)  component.</t>
  </si>
  <si>
    <t>Have to achieve at least 300 working days in each of the Basic and Principal category in 3 years. (i.e. 400 working days in 4-year case/ 500 working days in 5-year case)</t>
  </si>
  <si>
    <t>1)</t>
  </si>
  <si>
    <t>2)</t>
  </si>
  <si>
    <t>3)</t>
  </si>
  <si>
    <t>4)</t>
  </si>
  <si>
    <t>Min. Working Days</t>
  </si>
  <si>
    <t>A Working Day is considered as 7 working hours and can be accumulated</t>
  </si>
  <si>
    <t>A Working Day is considered as 8 working hours and can be accumulated</t>
  </si>
  <si>
    <t>The required Working Days allow a maximum of 40 hours of attendance at relevant training courses each year.</t>
  </si>
  <si>
    <t>CURRENT PE Framework</t>
  </si>
  <si>
    <t>REVISED PE Framework</t>
  </si>
  <si>
    <t>Part-time experience can be recognized if meeting the requirement of a minimum of 3 Working Days (i.e. 24 working hours) per week</t>
  </si>
  <si>
    <t>Others:</t>
  </si>
  <si>
    <t>Part-time experience can be recognized if meeting the requirement of a minimum of 3 Working Days (i.e. 24 working hours) per week.</t>
  </si>
  <si>
    <t>Min. no. of Working Days</t>
  </si>
  <si>
    <t>Calculate remaining Working Days to be achieved under the revised PEF.</t>
  </si>
  <si>
    <t>Min. no. of Working Days spent in each of the 
4 elements</t>
  </si>
  <si>
    <t>Working calculation:</t>
  </si>
  <si>
    <t>Total no. of required Working Days</t>
  </si>
  <si>
    <t>The minimum number of Working Days required in each technical element will be prorated based on students' academic qualification:</t>
  </si>
  <si>
    <t>Conversion Rules from Current to Revised Practical Experience Framework</t>
  </si>
  <si>
    <t>2) Prorated Working Days required in each technical element:</t>
  </si>
  <si>
    <t>No. of Employment</t>
  </si>
  <si>
    <t>Working days attained</t>
  </si>
  <si>
    <t>Prorated Working Days attained</t>
  </si>
  <si>
    <t>Remaining Working Days to be achieved</t>
  </si>
  <si>
    <t>Min. length of years should remain the same, i.e. 3 years.</t>
  </si>
  <si>
    <t>1 year and 6 months acquired under current PEF</t>
  </si>
  <si>
    <t>2 years and 9 months acquired under current PEF</t>
  </si>
  <si>
    <t>No. of Year</t>
  </si>
  <si>
    <t>Length of exp. acquired</t>
  </si>
  <si>
    <t>9 months</t>
  </si>
  <si>
    <t>Total</t>
  </si>
  <si>
    <r>
      <t xml:space="preserve">Convert Working Days already attained under current PEF to revised Working Days with the </t>
    </r>
    <r>
      <rPr>
        <b/>
        <sz val="12"/>
        <color theme="1"/>
        <rFont val="Arial"/>
        <family val="2"/>
      </rPr>
      <t>0.83 ratio</t>
    </r>
    <r>
      <rPr>
        <sz val="12"/>
        <color theme="1"/>
        <rFont val="Arial"/>
        <family val="2"/>
      </rPr>
      <t>.</t>
    </r>
  </si>
  <si>
    <t>(i)</t>
  </si>
  <si>
    <t>(ii)</t>
  </si>
  <si>
    <t>Yes</t>
  </si>
  <si>
    <t>No</t>
  </si>
  <si>
    <t>Prorated Working Days attained in Year 2</t>
  </si>
  <si>
    <r>
      <t xml:space="preserve">At least </t>
    </r>
    <r>
      <rPr>
        <b/>
        <sz val="12"/>
        <color rgb="FFFF0000"/>
        <rFont val="Arial"/>
        <family val="2"/>
      </rPr>
      <t xml:space="preserve">97 </t>
    </r>
    <r>
      <rPr>
        <b/>
        <sz val="12"/>
        <color theme="1"/>
        <rFont val="Arial"/>
        <family val="2"/>
      </rPr>
      <t>Working Days to be achieved in Year 2</t>
    </r>
  </si>
  <si>
    <r>
      <rPr>
        <b/>
        <sz val="12"/>
        <rFont val="Arial"/>
        <family val="2"/>
      </rPr>
      <t xml:space="preserve">At least </t>
    </r>
    <r>
      <rPr>
        <b/>
        <sz val="12"/>
        <color rgb="FFFF0000"/>
        <rFont val="Arial"/>
        <family val="2"/>
      </rPr>
      <t>310</t>
    </r>
    <r>
      <rPr>
        <b/>
        <sz val="12"/>
        <color theme="1"/>
        <rFont val="Arial"/>
        <family val="2"/>
      </rPr>
      <t xml:space="preserve"> Working Days to be achieved under the revised PEF</t>
    </r>
  </si>
  <si>
    <t>Prorated Working Days attained in Year 3</t>
  </si>
  <si>
    <t>Remaining Working Days to be achieved in Year 3</t>
  </si>
  <si>
    <r>
      <t xml:space="preserve">At least </t>
    </r>
    <r>
      <rPr>
        <b/>
        <sz val="12"/>
        <color rgb="FFFF0000"/>
        <rFont val="Arial"/>
        <family val="2"/>
      </rPr>
      <t xml:space="preserve">88 </t>
    </r>
    <r>
      <rPr>
        <b/>
        <sz val="12"/>
        <color theme="1"/>
        <rFont val="Arial"/>
        <family val="2"/>
      </rPr>
      <t>Working Days to be achieved in Year 3</t>
    </r>
  </si>
  <si>
    <r>
      <t xml:space="preserve">At least </t>
    </r>
    <r>
      <rPr>
        <b/>
        <sz val="12"/>
        <color rgb="FFFF0000"/>
        <rFont val="Arial"/>
        <family val="2"/>
      </rPr>
      <t xml:space="preserve">92 </t>
    </r>
    <r>
      <rPr>
        <b/>
        <sz val="12"/>
        <rFont val="Arial"/>
        <family val="2"/>
      </rPr>
      <t>W</t>
    </r>
    <r>
      <rPr>
        <b/>
        <sz val="12"/>
        <color theme="1"/>
        <rFont val="Arial"/>
        <family val="2"/>
      </rPr>
      <t>orking Days to be attained under the revised PEF</t>
    </r>
  </si>
  <si>
    <t>3 months to be acquired under the revised PEF</t>
  </si>
  <si>
    <t>Attained min. Working Days per year?</t>
  </si>
  <si>
    <t xml:space="preserve">               Editable fields</t>
  </si>
  <si>
    <t>No. of WD required in each Technical element</t>
  </si>
  <si>
    <t>Other academic qualifications</t>
  </si>
  <si>
    <t>Approved degree holders/ QP students graduated from the Associate Level</t>
  </si>
  <si>
    <t>Please select</t>
  </si>
  <si>
    <t>3. The mapping of competence and conversion of number of Working Days under the revised PE Framework will be calculated automatically in page 3.</t>
  </si>
  <si>
    <r>
      <t xml:space="preserve">6. Any enquiries, please contact the Education and Training Department of the Institute by email to </t>
    </r>
    <r>
      <rPr>
        <u/>
        <sz val="12"/>
        <color theme="1"/>
        <rFont val="Arial"/>
        <family val="2"/>
      </rPr>
      <t>pef@hkicpa.org.hk</t>
    </r>
    <r>
      <rPr>
        <sz val="12"/>
        <color theme="1"/>
        <rFont val="Arial"/>
        <family val="2"/>
      </rPr>
      <t xml:space="preserve"> or on (852) 2287 7228.</t>
    </r>
  </si>
  <si>
    <t>1. Select academic qualification as a basis for calculation of conversion.</t>
  </si>
  <si>
    <r>
      <t xml:space="preserve">2. Enter the number of Working Days acquired under current PE Framework.  </t>
    </r>
    <r>
      <rPr>
        <i/>
        <sz val="12"/>
        <color theme="1"/>
        <rFont val="Arial"/>
        <family val="2"/>
      </rPr>
      <t xml:space="preserve">(Please note that the practical experience must be attained within 10 years prior to the date of  HKICPA membership application as per the recency rule under the revised PE Framework.) </t>
    </r>
  </si>
  <si>
    <t>4. Refer to the remaining Working Days required under the revised PE Framework calculated automatically in page 3 and continue to obtain relevant practical experience where applicable.</t>
  </si>
  <si>
    <t>---</t>
  </si>
  <si>
    <t>(I) Please select academic qualification</t>
  </si>
  <si>
    <t>(II) CURRENT PEF GRID - Technical Competencies</t>
  </si>
  <si>
    <t>(i) Basic Practicial Experience Components</t>
  </si>
  <si>
    <t>(ii) Principal Practicial Experience Components</t>
  </si>
  <si>
    <t>(III) REVISED PEF GRID - Technical Competences</t>
  </si>
  <si>
    <t>In Summary</t>
  </si>
  <si>
    <r>
      <t xml:space="preserve">4) Attain at least </t>
    </r>
    <r>
      <rPr>
        <b/>
        <sz val="12"/>
        <color theme="1"/>
        <rFont val="Arial"/>
        <family val="2"/>
      </rPr>
      <t>75</t>
    </r>
    <r>
      <rPr>
        <sz val="12"/>
        <color theme="1"/>
        <rFont val="Arial"/>
        <family val="2"/>
      </rPr>
      <t xml:space="preserve"> Working Days of practical experience in each of the selected technical elements 
    (i.e. 100 Working Days in 4-year case/ 124 Working Days in 5-year case); and</t>
    </r>
  </si>
  <si>
    <t>Illustrations of Conversion from Current to Revised Practical Experience Framework</t>
  </si>
  <si>
    <t>5. Print and attach this conversion table to the Training Records as supporting evidence.</t>
  </si>
  <si>
    <t xml:space="preserve">            Editable fields</t>
  </si>
  <si>
    <t xml:space="preserve">             Editable fields</t>
  </si>
  <si>
    <t>Min. no. of Working Days required per year</t>
  </si>
  <si>
    <t xml:space="preserve">Remaining min. no. of Working Days to be attained </t>
  </si>
  <si>
    <t>The QP student has acquired 1 year and 3 months full-time practical experience by the end of transitional period and has changed to part-time employment under the revised PE Framework.</t>
  </si>
  <si>
    <t>Working Days attained</t>
  </si>
  <si>
    <t xml:space="preserve">The QP student holds an accounting degree and works full-time under current PEF and has to transfer to work full-time under the revised PEF. </t>
  </si>
  <si>
    <t xml:space="preserve">The QP student holds an accounting degree and works full-time under current PEF and has to transfer to work part-time under the revised PEF. </t>
  </si>
  <si>
    <t xml:space="preserve">   (189 Working Days x 0.83)</t>
    <phoneticPr fontId="2" type="noConversion"/>
  </si>
  <si>
    <t>Total</t>
    <phoneticPr fontId="2" type="noConversion"/>
  </si>
  <si>
    <t>Total</t>
    <phoneticPr fontId="2" type="noConversion"/>
  </si>
  <si>
    <t>(A)</t>
    <phoneticPr fontId="2" type="noConversion"/>
  </si>
  <si>
    <r>
      <t>Prorated Working Days attained</t>
    </r>
    <r>
      <rPr>
        <sz val="9"/>
        <color theme="1"/>
        <rFont val="Arial"/>
        <family val="2"/>
      </rPr>
      <t xml:space="preserve">  </t>
    </r>
    <r>
      <rPr>
        <i/>
        <sz val="9"/>
        <color rgb="FF0070C0"/>
        <rFont val="Arial"/>
        <family val="2"/>
      </rPr>
      <t>(A)</t>
    </r>
    <phoneticPr fontId="2" type="noConversion"/>
  </si>
  <si>
    <t>(B)</t>
    <phoneticPr fontId="2" type="noConversion"/>
  </si>
  <si>
    <t xml:space="preserve">  (220 Working Days x 0.83)</t>
    <phoneticPr fontId="2" type="noConversion"/>
  </si>
  <si>
    <r>
      <t xml:space="preserve">Prorated Working Days attained </t>
    </r>
    <r>
      <rPr>
        <i/>
        <sz val="9"/>
        <color rgb="FF0070C0"/>
        <rFont val="Arial"/>
        <family val="2"/>
      </rPr>
      <t>(C)</t>
    </r>
    <phoneticPr fontId="2" type="noConversion"/>
  </si>
  <si>
    <t>( C)</t>
    <phoneticPr fontId="2" type="noConversion"/>
  </si>
  <si>
    <t xml:space="preserve">  (50 Working Days x 0.83),  (D)</t>
    <phoneticPr fontId="2" type="noConversion"/>
  </si>
  <si>
    <t xml:space="preserve">   (40 Working Days x 0.83),  (B)</t>
    <phoneticPr fontId="2" type="noConversion"/>
  </si>
  <si>
    <t>(D)</t>
    <phoneticPr fontId="2" type="noConversion"/>
  </si>
  <si>
    <t>1 year</t>
    <phoneticPr fontId="2" type="noConversion"/>
  </si>
  <si>
    <t>Example 3 (Extreme cases with minimum requirements reached)</t>
    <phoneticPr fontId="2" type="noConversion"/>
  </si>
  <si>
    <t>9 months</t>
    <phoneticPr fontId="2" type="noConversion"/>
  </si>
  <si>
    <t>Min. no. of Working Days required per year</t>
    <phoneticPr fontId="2" type="noConversion"/>
  </si>
  <si>
    <t>Total min. no. of required Working Days</t>
    <phoneticPr fontId="2" type="noConversion"/>
  </si>
  <si>
    <t>Convert Working Days already attained in each competence under the current PEF to the elements under revised PEF according to the mapping table and conversion ratio.</t>
    <phoneticPr fontId="2" type="noConversion"/>
  </si>
  <si>
    <t>Calculate remaining minimum Working Days to be achieved in the selected technical elements required under the revised PEF.</t>
    <phoneticPr fontId="2" type="noConversion"/>
  </si>
  <si>
    <t>Calculate remaining minimum Working Days to be achieved under the revised PEF.</t>
    <phoneticPr fontId="2" type="noConversion"/>
  </si>
  <si>
    <t>Total min. no. of required Working Days</t>
    <phoneticPr fontId="2" type="noConversion"/>
  </si>
  <si>
    <t xml:space="preserve">Remaining min. no. of Working Days to be achieved under revised PEF </t>
    <phoneticPr fontId="2" type="noConversion"/>
  </si>
  <si>
    <t>Min. no. of Working Days required per year</t>
    <phoneticPr fontId="2" type="noConversion"/>
  </si>
  <si>
    <t>Remaining min. no. of Working Days to be achieved in Year 2</t>
    <phoneticPr fontId="2" type="noConversion"/>
  </si>
  <si>
    <t>Min. length of years would be the same, i.e. 3 years.</t>
    <phoneticPr fontId="2" type="noConversion"/>
  </si>
  <si>
    <t>1 year and 6 months to be acquired under the revised PEF</t>
    <phoneticPr fontId="2" type="noConversion"/>
  </si>
  <si>
    <t>Note: The QP student may request for extension of practical experience period if he/she cannot complete the minimum practical experience requirements within the 3-year practical experience period.</t>
    <phoneticPr fontId="2" type="noConversion"/>
  </si>
  <si>
    <t>Result &amp; analysis:     1)</t>
    <phoneticPr fontId="2" type="noConversion"/>
  </si>
  <si>
    <t>Remaining min. of Working Days to be achieved</t>
    <phoneticPr fontId="2" type="noConversion"/>
  </si>
  <si>
    <t>Remaining min. no. of Working Days to be achieved in Year 3</t>
    <phoneticPr fontId="2" type="noConversion"/>
  </si>
  <si>
    <r>
      <rPr>
        <b/>
        <sz val="12"/>
        <color theme="1"/>
        <rFont val="Arial"/>
        <family val="2"/>
      </rPr>
      <t>Min.</t>
    </r>
    <r>
      <rPr>
        <sz val="12"/>
        <color theme="1"/>
        <rFont val="Arial"/>
        <family val="2"/>
      </rPr>
      <t xml:space="preserve"> length of years would be remain the same for full-time and part-time work arrangement, i.e. 3 years.</t>
    </r>
    <phoneticPr fontId="2" type="noConversion"/>
  </si>
  <si>
    <t>Able to provide creative thinking and to deal with unstructured and unfamiliar problems and situations</t>
  </si>
  <si>
    <t>Communications and interpersonal relationships</t>
  </si>
  <si>
    <t>Personal and behavioural</t>
  </si>
  <si>
    <t>Information technology</t>
  </si>
  <si>
    <t>Able to communicate effectively in written or other visual form and to interact effectively with individuals or groups of diverse cultural and intellectual backgrounds and status</t>
  </si>
  <si>
    <t>Able to consistently demonstrate personal integrity, professional values, ethical conduct and motivation to meet professional standards of conduct and dedication in all work assignments and responsibilities</t>
  </si>
  <si>
    <t>A1</t>
  </si>
  <si>
    <t>A2</t>
  </si>
  <si>
    <t>A3</t>
  </si>
  <si>
    <t>Professional Scepticism and Professional Judgement</t>
  </si>
  <si>
    <t>Ethical Principles</t>
  </si>
  <si>
    <t>B1</t>
  </si>
  <si>
    <t>Intellectual</t>
  </si>
  <si>
    <t>B2</t>
  </si>
  <si>
    <t>Interpersonal and Communication</t>
  </si>
  <si>
    <t>B3</t>
  </si>
  <si>
    <t>B4</t>
  </si>
  <si>
    <t>Organizational</t>
  </si>
  <si>
    <t>Result &amp; analysis:          1)</t>
    <phoneticPr fontId="2" type="noConversion"/>
  </si>
  <si>
    <t>Prorated Working Days attained</t>
    <phoneticPr fontId="2" type="noConversion"/>
  </si>
  <si>
    <t>(if applicable)</t>
    <phoneticPr fontId="2" type="noConversion"/>
  </si>
  <si>
    <r>
      <t xml:space="preserve">5. Print and attach this conversion table to the Training Records as supporting evidence  </t>
    </r>
    <r>
      <rPr>
        <b/>
        <sz val="12"/>
        <color rgb="FFFF0000"/>
        <rFont val="Arial"/>
        <family val="2"/>
      </rPr>
      <t>(TBD with Admission whether need to print for them as support?).</t>
    </r>
    <phoneticPr fontId="2" type="noConversion"/>
  </si>
  <si>
    <t>Independent</t>
    <phoneticPr fontId="2" type="noConversion"/>
  </si>
  <si>
    <t>Cash Management, Planning and Budgetary Control, and Treasury</t>
    <phoneticPr fontId="2" type="noConversion"/>
  </si>
  <si>
    <t>Planning an engagement</t>
    <phoneticPr fontId="2" type="noConversion"/>
  </si>
  <si>
    <t>1 Working Day = 7 working hours</t>
    <phoneticPr fontId="2" type="noConversion"/>
  </si>
  <si>
    <t>Revised PEF : 1 Working Day = 8 working hours</t>
    <phoneticPr fontId="2" type="noConversion"/>
  </si>
  <si>
    <t>Use a formula:</t>
    <phoneticPr fontId="2" type="noConversion"/>
  </si>
  <si>
    <t>No. of Working Days * 7 working hours / 8 working hours</t>
    <phoneticPr fontId="2" type="noConversion"/>
  </si>
  <si>
    <t>Option 1: Accurate version:</t>
    <phoneticPr fontId="2" type="noConversion"/>
  </si>
  <si>
    <t xml:space="preserve">Option 2: Simplified version: </t>
    <phoneticPr fontId="2" type="noConversion"/>
  </si>
  <si>
    <t>Current PEF</t>
    <phoneticPr fontId="2" type="noConversion"/>
  </si>
  <si>
    <t>Revised PEF</t>
    <phoneticPr fontId="2" type="noConversion"/>
  </si>
  <si>
    <t>1 Working Day</t>
    <phoneticPr fontId="2" type="noConversion"/>
  </si>
  <si>
    <t>=</t>
    <phoneticPr fontId="2" type="noConversion"/>
  </si>
  <si>
    <t>1) Conversion of Working Days from Current to Revised PEF (Two proposed options)</t>
    <phoneticPr fontId="2" type="noConversion"/>
  </si>
  <si>
    <t>No further calculation: treat the number of Working Days attained under current PEF to be the same as the number of Working Days attained under revised PEF.</t>
    <phoneticPr fontId="2" type="noConversion"/>
  </si>
  <si>
    <r>
      <t xml:space="preserve">Map to competence of the revised PEF
</t>
    </r>
    <r>
      <rPr>
        <i/>
        <sz val="11"/>
        <color theme="1"/>
        <rFont val="Arial"/>
        <family val="2"/>
      </rPr>
      <t>(Please select from the drop down menu)</t>
    </r>
    <phoneticPr fontId="2" type="noConversion"/>
  </si>
  <si>
    <t>(if applicable)</t>
    <phoneticPr fontId="2" type="noConversion"/>
  </si>
  <si>
    <t>No. of Working Days acquired</t>
    <phoneticPr fontId="2" type="noConversion"/>
  </si>
  <si>
    <t>Minimum level attained</t>
    <phoneticPr fontId="2" type="noConversion"/>
  </si>
  <si>
    <t xml:space="preserve">Total no. of Working Days acquired  </t>
    <phoneticPr fontId="2" type="noConversion"/>
  </si>
  <si>
    <t xml:space="preserve">Year of Practical Experience Period </t>
    <phoneticPr fontId="2" type="noConversion"/>
  </si>
  <si>
    <t>Under the Revised PEF</t>
    <phoneticPr fontId="2" type="noConversion"/>
  </si>
  <si>
    <t>Remaining minimum no. of Working Days to be acquired</t>
    <phoneticPr fontId="2" type="noConversion"/>
  </si>
  <si>
    <t>Under Current PEF</t>
    <phoneticPr fontId="2" type="noConversion"/>
  </si>
  <si>
    <t>No. of  Working Days already acquired under current PEF</t>
    <phoneticPr fontId="2" type="noConversion"/>
  </si>
  <si>
    <t>Remaining Minimum no. of Working Days to be acquired under revised PEF</t>
    <phoneticPr fontId="2" type="noConversion"/>
  </si>
  <si>
    <t>Proficiency level 2</t>
  </si>
  <si>
    <t>Proficiency level 3</t>
  </si>
  <si>
    <t>75 working days Requirement met?</t>
  </si>
  <si>
    <t>Student Registration No.:</t>
  </si>
  <si>
    <t xml:space="preserve">Name of QP student: </t>
  </si>
  <si>
    <t>Total no. of Working Days acquired:</t>
  </si>
  <si>
    <t>Achieved minimum 130 Working Days per year requirement:</t>
  </si>
  <si>
    <t>Minimum no. of Working Days of technical competence at proficiency level 3</t>
  </si>
  <si>
    <t>Total No of Working Days of technical competence at proficiency level 3</t>
  </si>
  <si>
    <t xml:space="preserve">No. of Working Days already acquired under current PEF </t>
  </si>
  <si>
    <t xml:space="preserve">Total No. of Working Days already acquired under current PEF </t>
  </si>
  <si>
    <t>Minimum no. of Working Days required per year</t>
  </si>
  <si>
    <t>Minimum no. of Working Days required under Revised PEF</t>
  </si>
  <si>
    <t>Remaining minimum no. of Working Days of technical competence at proficiency level 3 to be acquired</t>
  </si>
  <si>
    <t>Remaining minimum no. of Working Days under current PEF to be acquired</t>
  </si>
  <si>
    <t xml:space="preserve">Achieved minimum 250 Working Days of technical competence at proficiency level 3: </t>
  </si>
  <si>
    <t xml:space="preserve">Achieved at least 75 Working Days in one of the Financial Accounting and Reporting elements: </t>
  </si>
  <si>
    <t xml:space="preserve">Achieved at least 75 Working Days in 4 or more technical elements: </t>
  </si>
  <si>
    <t>Total Working Days</t>
  </si>
  <si>
    <t>Practical Experience duration</t>
  </si>
  <si>
    <t>Total no. of employment(s):</t>
  </si>
  <si>
    <t>Total no. of employment(s) less than 12 months:</t>
  </si>
  <si>
    <t>HONG KONG INSTITUTE OF CERTIFIED PUBLIC ACCOUNTANTS
("HKICPA"/"the Institute")</t>
  </si>
  <si>
    <t>CONVERSION TOOL FOR REVISED PRACTICAL EXPERIENCE FRAMEWORK AT MEMBERHSIP ADMISSION</t>
  </si>
  <si>
    <t>Summary of Practical Experience acquired from Authorized Employer(s) ("AE")/Authorized Supervisor(s) ("AS")</t>
  </si>
  <si>
    <t>AUTHORIZED EMPLOYERS AND SUPERVISORS</t>
  </si>
  <si>
    <t>AE/AS No.</t>
  </si>
  <si>
    <t>AE/AS Name</t>
  </si>
  <si>
    <t>Practical Experience Duration</t>
  </si>
  <si>
    <t>No. of Working Days</t>
  </si>
  <si>
    <t>(Fill it out in a chronological order)</t>
  </si>
  <si>
    <t>Practical Experience Start Date (dd/mm/yyyy)</t>
  </si>
  <si>
    <t>Practical Experience End Date (dd/mm/yyyy)</t>
  </si>
  <si>
    <t>(dd/mm/yyyy)</t>
  </si>
  <si>
    <t>Technical Elements</t>
  </si>
  <si>
    <t>MF1: Cost Management and Evaluation</t>
  </si>
  <si>
    <t>MF2: Cash Management, Planning and Budgetary Control, and Treasury</t>
  </si>
  <si>
    <t>MF3: Appraising Investments</t>
  </si>
  <si>
    <t>GRI1: Identifying and Managing Risk</t>
  </si>
  <si>
    <t>GRI2: Designing Internal Controls</t>
  </si>
  <si>
    <t>GRI3: Monitoring Performance and Accountability</t>
  </si>
  <si>
    <t>IBR1: Information Technology</t>
  </si>
  <si>
    <t>IBR2: Business Strategy and Management</t>
  </si>
  <si>
    <t>IBR3: Insolvency and Reconstruction</t>
  </si>
  <si>
    <t>Enabling Elements</t>
  </si>
  <si>
    <t>Status</t>
  </si>
  <si>
    <t>A: PROFESSIONAL VALUES, ETHICS AND ATTITUDES</t>
  </si>
  <si>
    <t>B: PROFESSIONAL SKILLS</t>
  </si>
  <si>
    <t>Date:</t>
  </si>
  <si>
    <t>Creative thinking reasoning and analysis</t>
  </si>
  <si>
    <t>A1&amp;B1</t>
  </si>
  <si>
    <t>Able to apply effectively a clear understanding of the objectives and standards of the organization in which employed</t>
  </si>
  <si>
    <t>Status of achievement</t>
  </si>
  <si>
    <t>Wong Man Chun</t>
  </si>
  <si>
    <t>S123456</t>
  </si>
  <si>
    <t>Total no. of working acquired:</t>
  </si>
  <si>
    <t>A PROFESSIONAL VALUES, ETHICS AND ATTITUDES</t>
  </si>
  <si>
    <t>B PROFESSIONAL SKILLS</t>
  </si>
  <si>
    <t>Commitment to the Public interest</t>
  </si>
  <si>
    <t>FAR1: Accounting for Transactions</t>
  </si>
  <si>
    <t>FAR2: Preparing Financial Reports</t>
  </si>
  <si>
    <t>FAR3: Analysing Financial Reports</t>
  </si>
  <si>
    <t>AA1: Planning an Audit Engagement</t>
  </si>
  <si>
    <t>AA2: Performing an Audit Engagement</t>
  </si>
  <si>
    <t>AA3: Audit Review and Reporting</t>
  </si>
  <si>
    <t>T1: Tax Computations</t>
  </si>
  <si>
    <t>T2: Tax Compliance</t>
  </si>
  <si>
    <t>T3: Tax Planning</t>
  </si>
  <si>
    <t>AA: AUDIT AND ASSURANCE</t>
  </si>
  <si>
    <t>T: TAXATION</t>
  </si>
  <si>
    <t>GRI: GOVERNANCE, RISK MANAGEMENT AND INTERNAL CONTROL</t>
  </si>
  <si>
    <t>IBR: INFORMATION TECHNOLOGY, BUSINESS STRATEGY AND MANAGEMENT, AND INSOLVENCY AND RECONSTRUCTION</t>
  </si>
  <si>
    <t>DECLARATION</t>
  </si>
  <si>
    <t xml:space="preserve">Year of Practical Experience Period </t>
  </si>
  <si>
    <t>Able to use information technology effectively within an organization by rapidly developing a comprehensive working knowledge of the existing systems</t>
  </si>
  <si>
    <t>A2&amp;A3&amp;B3</t>
  </si>
  <si>
    <t>OTH</t>
  </si>
  <si>
    <t>HONG KONG INSTITUTE OF CERTIFIED PUBLIC ACCOUNTANTS</t>
  </si>
  <si>
    <t xml:space="preserve">Practical Experience 
Start Date </t>
  </si>
  <si>
    <t xml:space="preserve">Practical Experience 
End Date </t>
  </si>
  <si>
    <t>Practical Experience 
Duration</t>
  </si>
  <si>
    <t>Conversion Tool for Converting Practical Experience</t>
  </si>
  <si>
    <t>Achieved minimum time requirements for 
Practical Experience Period:</t>
  </si>
  <si>
    <t>SUMMARY OF ENABLING COMPETENCES UNDER THE REVISED PEF</t>
  </si>
  <si>
    <t>SUMMARY OF TECHNICAL COMPETENCES UNDER THE REVISED PEF</t>
  </si>
  <si>
    <t>Conversion Details of Competences to the Revised Practical Experience Framework</t>
  </si>
  <si>
    <t>from the Old Framework to the Revised Framework for Membership Admission</t>
  </si>
  <si>
    <t>Personal</t>
  </si>
  <si>
    <t>Academic qualification:</t>
  </si>
  <si>
    <t>Minimum time requirements (i.e. Total Working Days) for 
Practical Experience Period:</t>
  </si>
  <si>
    <t>FAR: FINANCIAL ACCOUNTING AND REPORTING</t>
  </si>
  <si>
    <t>MF: MANAGEMENT ACCOUNTING, FINANCE AND FINANCIAL MANAGEMENT</t>
  </si>
  <si>
    <t>Other competences achieved (Please specify):</t>
  </si>
  <si>
    <t>Able to prepare audit reports and management letters</t>
  </si>
  <si>
    <t>MA Management accounting</t>
  </si>
  <si>
    <t>(i) Basic Practical Experience Components</t>
  </si>
  <si>
    <t>Ability to analyze and explain variances between budgeted and actual financial results, including appropriate use of non-financial indicators</t>
  </si>
  <si>
    <t>(ii) Principal Practical Experience Components</t>
  </si>
  <si>
    <t>Remaining minimum no. of Working Days to be acquired under revised PEF</t>
  </si>
  <si>
    <t>Student Name:</t>
  </si>
  <si>
    <t>Student No.:</t>
  </si>
  <si>
    <t>Total number of Working Days acquired:</t>
  </si>
  <si>
    <t>Total number of employment(s):</t>
  </si>
  <si>
    <t>Total number of employment(s) less than 12 months:</t>
  </si>
  <si>
    <t>Achieved minimum 130 Working Days per year requirements:</t>
  </si>
  <si>
    <t xml:space="preserve">Achieved minimum 250 Working Days of 
technical competences at proficiency level 3 requirements: </t>
  </si>
  <si>
    <t xml:space="preserve">Achieved at least 75 Working Days in one of 
the Financial Accounting and Reporting elements requirements: </t>
  </si>
  <si>
    <t xml:space="preserve">Achieved at least 75 Working Days in 4 or more 
technical elements requirements: </t>
  </si>
  <si>
    <t>AUTHORIZED EMPLOYERS ("AE") AND AUTHORIZED SUPERVISORS ("AS")</t>
  </si>
  <si>
    <t>TRAINING RECORDS DETAILS</t>
  </si>
  <si>
    <t>A1: Professional Scepticism and Professional Judgement</t>
  </si>
  <si>
    <t>A2: Ethical Principles</t>
  </si>
  <si>
    <t>A3: Commitment to the Public Interest</t>
  </si>
  <si>
    <t>B1: Intellectual</t>
  </si>
  <si>
    <t>B2: Interpersonal and Communication</t>
  </si>
  <si>
    <t>B3: Personal</t>
  </si>
  <si>
    <t>B4: Organizational</t>
  </si>
  <si>
    <t>1. I confirm to submit the Conversion Tool and the Training Records of Practical Experience for Membership Admission and understand that any non-compliance of the practical experience requirement may result in rejection of the membership application.</t>
  </si>
  <si>
    <t>Signature of QP student:</t>
  </si>
  <si>
    <t xml:space="preserve">Total number of Working Days acquired  </t>
  </si>
  <si>
    <t>75 working days requirements met?</t>
  </si>
  <si>
    <t>Planning an Audit engagement</t>
  </si>
  <si>
    <t>Remaining minimum number of Working Days to be acquired</t>
  </si>
  <si>
    <t>Number of Working Days already acquired</t>
  </si>
  <si>
    <t>Minimum number of Working Days required per year</t>
  </si>
  <si>
    <t>Practical Experience Duration:</t>
  </si>
  <si>
    <t>IBR Information technology, Business Strategy and Management, and Insolvency and Reconstruction</t>
  </si>
  <si>
    <t>Able to implement audit processes</t>
  </si>
  <si>
    <t>Total number of Working Days of technical competences at proficiency level 3</t>
  </si>
  <si>
    <t>Minimum number of Working Days of technical competences at proficiency level 3</t>
  </si>
  <si>
    <t>I) TECHNICAL COMPETENCES</t>
  </si>
  <si>
    <t xml:space="preserve">No. of Working Days of 
technical competences at </t>
  </si>
  <si>
    <t>Remaining minimum number of Working Days of technical competences at proficiency level 3 to be acquired</t>
  </si>
  <si>
    <t>II) ENABLING COMPETENCES</t>
  </si>
  <si>
    <t>OLD PEF GRID - TECHNICAL COMPETENCES</t>
  </si>
  <si>
    <t>OLD PEF GRID - GENERIC COMPETENCES</t>
  </si>
  <si>
    <t>Organization-specific competences</t>
  </si>
  <si>
    <r>
      <t xml:space="preserve">Map to competence of the revised PEF
</t>
    </r>
    <r>
      <rPr>
        <i/>
        <sz val="14"/>
        <color theme="1"/>
        <rFont val="Arial"/>
        <family val="2"/>
      </rPr>
      <t>(Please select from the drop down menu)</t>
    </r>
  </si>
  <si>
    <t>Total number of Working Days recognized:</t>
  </si>
  <si>
    <t>* Only time spent on a technical element exceeding 75 days is recognized; and total number of Working Days recongized should not be less than 500.</t>
  </si>
  <si>
    <t>2. I confirm that the content of the Conversion Tool and the Training Records of Practical Experience for Membership Admission are a fair representation of the work undertaken in above indicated period and agree upon the targets and actions planned in order to attain the required Practical Experience for membership admission.</t>
  </si>
  <si>
    <t>Please select</t>
    <phoneticPr fontId="2" type="noConversion"/>
  </si>
  <si>
    <t>Total no. of  Working Days already acquired under revised PEF</t>
  </si>
  <si>
    <t>No. of Working Days recognized</t>
  </si>
  <si>
    <t>(if applicable)</t>
  </si>
  <si>
    <t>Number of Working Days acquired:</t>
  </si>
  <si>
    <t>Number of Working Days recognized*: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</si>
</sst>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00_ "/>
    <numFmt numFmtId="168" formatCode="_(* #,##0.0_);_(* \(#,##0.0\);_(* &quot;-&quot;??_);_(@_)"/>
    <numFmt numFmtId="169" formatCode="0.00_ "/>
    <numFmt numFmtId="170" formatCode="0_ "/>
    <numFmt numFmtId="171" formatCode="0;_餃"/>
    <numFmt numFmtId="172" formatCode="0.000000_ "/>
  </numFmts>
  <fonts count="4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2"/>
      <color theme="10"/>
      <name val="新細明體"/>
      <family val="1"/>
      <charset val="136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5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i/>
      <sz val="9"/>
      <color rgb="FF0070C0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u/>
      <sz val="14"/>
      <color theme="1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40" fillId="0" borderId="0"/>
  </cellStyleXfs>
  <cellXfs count="5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165" fontId="3" fillId="0" borderId="1" xfId="1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66" fontId="4" fillId="0" borderId="0" xfId="1" applyNumberFormat="1" applyFont="1">
      <alignment vertical="center"/>
    </xf>
    <xf numFmtId="165" fontId="3" fillId="0" borderId="0" xfId="0" applyNumberFormat="1" applyFont="1">
      <alignment vertical="center"/>
    </xf>
    <xf numFmtId="166" fontId="4" fillId="0" borderId="0" xfId="0" applyNumberFormat="1" applyFont="1">
      <alignment vertical="center"/>
    </xf>
    <xf numFmtId="0" fontId="6" fillId="2" borderId="2" xfId="0" applyFont="1" applyFill="1" applyBorder="1">
      <alignment vertical="center"/>
    </xf>
    <xf numFmtId="165" fontId="6" fillId="2" borderId="2" xfId="1" applyNumberFormat="1" applyFont="1" applyFill="1" applyBorder="1">
      <alignment vertical="center"/>
    </xf>
    <xf numFmtId="0" fontId="3" fillId="0" borderId="0" xfId="0" applyFont="1" applyAlignment="1">
      <alignment horizontal="left" vertical="top" wrapText="1"/>
    </xf>
    <xf numFmtId="167" fontId="4" fillId="0" borderId="0" xfId="0" applyNumberFormat="1" applyFont="1">
      <alignment vertical="center"/>
    </xf>
    <xf numFmtId="0" fontId="8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2" applyFont="1" applyAlignment="1" applyProtection="1">
      <alignment vertical="center"/>
    </xf>
    <xf numFmtId="0" fontId="4" fillId="0" borderId="0" xfId="0" applyFont="1" applyAlignment="1">
      <alignment horizontal="right" vertical="center" wrapText="1"/>
    </xf>
    <xf numFmtId="168" fontId="3" fillId="0" borderId="0" xfId="0" applyNumberFormat="1" applyFont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3" xfId="0" applyFont="1" applyBorder="1">
      <alignment vertical="center"/>
    </xf>
    <xf numFmtId="0" fontId="9" fillId="0" borderId="0" xfId="0" applyFont="1">
      <alignment vertical="center"/>
    </xf>
    <xf numFmtId="0" fontId="10" fillId="4" borderId="0" xfId="0" applyFont="1" applyFill="1">
      <alignment vertical="center"/>
    </xf>
    <xf numFmtId="0" fontId="4" fillId="4" borderId="0" xfId="0" applyFont="1" applyFill="1">
      <alignment vertical="center"/>
    </xf>
    <xf numFmtId="169" fontId="4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5" borderId="0" xfId="0" applyFont="1" applyFill="1">
      <alignment vertical="center"/>
    </xf>
    <xf numFmtId="0" fontId="16" fillId="0" borderId="0" xfId="0" applyFont="1">
      <alignment vertical="center"/>
    </xf>
    <xf numFmtId="0" fontId="4" fillId="0" borderId="2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>
      <alignment vertical="center"/>
    </xf>
    <xf numFmtId="0" fontId="4" fillId="4" borderId="2" xfId="0" applyFont="1" applyFill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4" borderId="2" xfId="0" applyFont="1" applyFill="1" applyBorder="1" applyAlignment="1"/>
    <xf numFmtId="0" fontId="3" fillId="0" borderId="0" xfId="0" applyFont="1" applyAlignment="1">
      <alignment horizontal="right" vertical="center" wrapText="1"/>
    </xf>
    <xf numFmtId="0" fontId="5" fillId="0" borderId="0" xfId="0" applyFont="1" applyAlignment="1"/>
    <xf numFmtId="0" fontId="6" fillId="0" borderId="0" xfId="0" quotePrefix="1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8" fillId="6" borderId="0" xfId="0" applyFont="1" applyFill="1">
      <alignment vertical="center"/>
    </xf>
    <xf numFmtId="166" fontId="4" fillId="0" borderId="1" xfId="1" applyNumberFormat="1" applyFont="1" applyBorder="1">
      <alignment vertical="center"/>
    </xf>
    <xf numFmtId="167" fontId="4" fillId="0" borderId="1" xfId="0" applyNumberFormat="1" applyFont="1" applyBorder="1">
      <alignment vertical="center"/>
    </xf>
    <xf numFmtId="16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2" fillId="0" borderId="0" xfId="2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right" vertical="top"/>
    </xf>
    <xf numFmtId="165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0" fontId="4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8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9" fontId="6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170" fontId="6" fillId="0" borderId="0" xfId="0" applyNumberFormat="1" applyFont="1">
      <alignment vertical="center"/>
    </xf>
    <xf numFmtId="0" fontId="1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3" fillId="0" borderId="6" xfId="0" applyFont="1" applyBorder="1" applyAlignment="1">
      <alignment horizontal="right" vertical="center"/>
    </xf>
    <xf numFmtId="170" fontId="4" fillId="0" borderId="2" xfId="0" applyNumberFormat="1" applyFont="1" applyBorder="1">
      <alignment vertical="center"/>
    </xf>
    <xf numFmtId="170" fontId="3" fillId="0" borderId="2" xfId="0" applyNumberFormat="1" applyFont="1" applyBorder="1">
      <alignment vertical="center"/>
    </xf>
    <xf numFmtId="164" fontId="4" fillId="0" borderId="2" xfId="0" applyNumberFormat="1" applyFont="1" applyBorder="1">
      <alignment vertical="center"/>
    </xf>
    <xf numFmtId="170" fontId="6" fillId="0" borderId="3" xfId="0" applyNumberFormat="1" applyFont="1" applyBorder="1">
      <alignment vertical="center"/>
    </xf>
    <xf numFmtId="165" fontId="6" fillId="0" borderId="0" xfId="0" applyNumberFormat="1" applyFont="1">
      <alignment vertical="center"/>
    </xf>
    <xf numFmtId="165" fontId="3" fillId="0" borderId="2" xfId="0" applyNumberFormat="1" applyFont="1" applyBorder="1">
      <alignment vertical="center"/>
    </xf>
    <xf numFmtId="170" fontId="3" fillId="0" borderId="0" xfId="0" applyNumberFormat="1" applyFont="1">
      <alignment vertical="center"/>
    </xf>
    <xf numFmtId="0" fontId="3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3" borderId="3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top" indent="1"/>
    </xf>
    <xf numFmtId="0" fontId="20" fillId="8" borderId="1" xfId="0" applyFont="1" applyFill="1" applyBorder="1" applyAlignment="1">
      <alignment horizontal="left" vertical="top" wrapText="1"/>
    </xf>
    <xf numFmtId="0" fontId="10" fillId="9" borderId="0" xfId="0" applyFont="1" applyFill="1">
      <alignment vertical="center"/>
    </xf>
    <xf numFmtId="0" fontId="3" fillId="9" borderId="0" xfId="0" applyFont="1" applyFill="1">
      <alignment vertical="center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>
      <alignment vertical="center"/>
    </xf>
    <xf numFmtId="0" fontId="10" fillId="10" borderId="0" xfId="0" applyFont="1" applyFill="1">
      <alignment vertical="center"/>
    </xf>
    <xf numFmtId="0" fontId="3" fillId="10" borderId="0" xfId="0" applyFont="1" applyFill="1">
      <alignment vertical="center"/>
    </xf>
    <xf numFmtId="0" fontId="4" fillId="10" borderId="0" xfId="0" applyFont="1" applyFill="1">
      <alignment vertical="center"/>
    </xf>
    <xf numFmtId="0" fontId="3" fillId="10" borderId="0" xfId="0" applyFont="1" applyFill="1" applyAlignment="1">
      <alignment horizontal="center" vertical="center"/>
    </xf>
    <xf numFmtId="0" fontId="4" fillId="9" borderId="2" xfId="0" applyFont="1" applyFill="1" applyBorder="1" applyAlignment="1"/>
    <xf numFmtId="0" fontId="3" fillId="9" borderId="2" xfId="0" applyFont="1" applyFill="1" applyBorder="1" applyAlignment="1"/>
    <xf numFmtId="0" fontId="3" fillId="9" borderId="4" xfId="0" applyFont="1" applyFill="1" applyBorder="1" applyAlignment="1">
      <alignment horizontal="left" vertical="top" indent="1"/>
    </xf>
    <xf numFmtId="0" fontId="3" fillId="9" borderId="4" xfId="0" applyFont="1" applyFill="1" applyBorder="1" applyAlignment="1">
      <alignment vertical="top" wrapText="1"/>
    </xf>
    <xf numFmtId="0" fontId="3" fillId="9" borderId="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inden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/>
    </xf>
    <xf numFmtId="0" fontId="3" fillId="9" borderId="0" xfId="0" applyFont="1" applyFill="1" applyAlignment="1">
      <alignment horizontal="left" vertical="top" indent="1"/>
    </xf>
    <xf numFmtId="0" fontId="3" fillId="9" borderId="0" xfId="0" applyFont="1" applyFill="1" applyAlignment="1">
      <alignment vertical="top" wrapText="1"/>
    </xf>
    <xf numFmtId="0" fontId="3" fillId="9" borderId="0" xfId="0" applyFont="1" applyFill="1" applyAlignment="1">
      <alignment horizontal="left" vertical="top" wrapText="1"/>
    </xf>
    <xf numFmtId="0" fontId="3" fillId="9" borderId="0" xfId="0" applyFont="1" applyFill="1" applyAlignment="1">
      <alignment horizontal="center" vertical="top" wrapText="1"/>
    </xf>
    <xf numFmtId="0" fontId="4" fillId="9" borderId="0" xfId="0" applyFont="1" applyFill="1" applyAlignment="1">
      <alignment horizontal="center" vertical="top"/>
    </xf>
    <xf numFmtId="0" fontId="4" fillId="9" borderId="0" xfId="0" applyFont="1" applyFill="1" applyAlignment="1"/>
    <xf numFmtId="0" fontId="3" fillId="9" borderId="0" xfId="0" applyFont="1" applyFill="1" applyAlignment="1"/>
    <xf numFmtId="0" fontId="3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 vertical="top"/>
    </xf>
    <xf numFmtId="0" fontId="4" fillId="9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left" vertical="center" indent="1"/>
    </xf>
    <xf numFmtId="0" fontId="3" fillId="9" borderId="1" xfId="0" applyFont="1" applyFill="1" applyBorder="1">
      <alignment vertical="center"/>
    </xf>
    <xf numFmtId="0" fontId="3" fillId="9" borderId="1" xfId="0" applyFont="1" applyFill="1" applyBorder="1" applyAlignment="1">
      <alignment vertical="center" wrapText="1"/>
    </xf>
    <xf numFmtId="0" fontId="20" fillId="9" borderId="0" xfId="0" applyFont="1" applyFill="1">
      <alignment vertical="center"/>
    </xf>
    <xf numFmtId="0" fontId="4" fillId="10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left" vertical="top" indent="1"/>
    </xf>
    <xf numFmtId="0" fontId="4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 indent="1"/>
    </xf>
    <xf numFmtId="0" fontId="3" fillId="9" borderId="0" xfId="0" applyFont="1" applyFill="1" applyAlignment="1">
      <alignment horizontal="right" vertical="center"/>
    </xf>
    <xf numFmtId="0" fontId="3" fillId="9" borderId="0" xfId="0" applyFont="1" applyFill="1" applyAlignment="1">
      <alignment vertical="top"/>
    </xf>
    <xf numFmtId="0" fontId="3" fillId="9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/>
    <xf numFmtId="0" fontId="4" fillId="10" borderId="2" xfId="0" applyFont="1" applyFill="1" applyBorder="1" applyAlignment="1">
      <alignment wrapText="1"/>
    </xf>
    <xf numFmtId="0" fontId="3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10" borderId="0" xfId="0" applyFont="1" applyFill="1" applyAlignment="1">
      <alignment vertical="top"/>
    </xf>
    <xf numFmtId="0" fontId="21" fillId="10" borderId="8" xfId="0" applyFont="1" applyFill="1" applyBorder="1" applyAlignment="1">
      <alignment horizontal="left" vertical="center"/>
    </xf>
    <xf numFmtId="0" fontId="3" fillId="10" borderId="0" xfId="0" applyFont="1" applyFill="1" applyAlignment="1">
      <alignment vertical="center" wrapText="1"/>
    </xf>
    <xf numFmtId="0" fontId="22" fillId="9" borderId="0" xfId="0" applyFont="1" applyFill="1">
      <alignment vertical="center"/>
    </xf>
    <xf numFmtId="0" fontId="20" fillId="9" borderId="0" xfId="0" applyFont="1" applyFill="1" applyAlignment="1">
      <alignment horizontal="left" vertical="top" indent="1"/>
    </xf>
    <xf numFmtId="0" fontId="20" fillId="9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wrapText="1"/>
    </xf>
    <xf numFmtId="0" fontId="21" fillId="10" borderId="0" xfId="0" applyFont="1" applyFill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left" vertical="center" wrapText="1"/>
    </xf>
    <xf numFmtId="0" fontId="4" fillId="10" borderId="0" xfId="0" applyFont="1" applyFill="1" applyAlignment="1">
      <alignment horizontal="center" vertical="top"/>
    </xf>
    <xf numFmtId="0" fontId="4" fillId="10" borderId="0" xfId="0" applyFont="1" applyFill="1" applyAlignment="1">
      <alignment horizontal="center"/>
    </xf>
    <xf numFmtId="0" fontId="20" fillId="9" borderId="0" xfId="0" quotePrefix="1" applyFont="1" applyFill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11" fillId="10" borderId="0" xfId="0" applyFont="1" applyFill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/>
    </xf>
    <xf numFmtId="165" fontId="3" fillId="0" borderId="0" xfId="1" applyNumberFormat="1" applyFont="1" applyBorder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>
      <alignment vertical="center"/>
    </xf>
    <xf numFmtId="165" fontId="4" fillId="7" borderId="0" xfId="0" applyNumberFormat="1" applyFont="1" applyFill="1">
      <alignment vertical="center"/>
    </xf>
    <xf numFmtId="0" fontId="10" fillId="3" borderId="3" xfId="0" applyFont="1" applyFill="1" applyBorder="1">
      <alignment vertical="center"/>
    </xf>
    <xf numFmtId="0" fontId="4" fillId="7" borderId="3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4" fillId="7" borderId="0" xfId="0" applyFont="1" applyFill="1">
      <alignment vertical="center"/>
    </xf>
    <xf numFmtId="0" fontId="3" fillId="0" borderId="7" xfId="0" applyFont="1" applyBorder="1" applyAlignment="1">
      <alignment vertical="top"/>
    </xf>
    <xf numFmtId="0" fontId="4" fillId="7" borderId="0" xfId="0" applyFont="1" applyFill="1" applyAlignment="1">
      <alignment vertical="top"/>
    </xf>
    <xf numFmtId="0" fontId="13" fillId="0" borderId="7" xfId="0" applyFont="1" applyBorder="1" applyAlignment="1">
      <alignment vertical="center" wrapText="1"/>
    </xf>
    <xf numFmtId="0" fontId="3" fillId="7" borderId="0" xfId="0" applyFont="1" applyFill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7" borderId="2" xfId="0" applyFont="1" applyFill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4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10" borderId="0" xfId="0" applyFont="1" applyFill="1" applyAlignment="1">
      <alignment horizontal="right" vertical="center"/>
    </xf>
    <xf numFmtId="0" fontId="4" fillId="10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10" fillId="3" borderId="6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23" fillId="0" borderId="0" xfId="0" applyFont="1" applyAlignment="1">
      <alignment vertical="center" wrapText="1"/>
    </xf>
    <xf numFmtId="172" fontId="4" fillId="0" borderId="0" xfId="0" applyNumberFormat="1" applyFont="1" applyAlignment="1">
      <alignment horizontal="center" vertical="center" wrapText="1"/>
    </xf>
    <xf numFmtId="0" fontId="24" fillId="0" borderId="0" xfId="0" applyFont="1">
      <alignment vertical="center"/>
    </xf>
    <xf numFmtId="169" fontId="3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quotePrefix="1" applyFont="1" applyBorder="1" applyAlignment="1">
      <alignment horizontal="left" vertical="center"/>
    </xf>
    <xf numFmtId="164" fontId="9" fillId="0" borderId="0" xfId="0" applyNumberFormat="1" applyFont="1">
      <alignment vertical="center"/>
    </xf>
    <xf numFmtId="0" fontId="6" fillId="0" borderId="3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170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10" borderId="0" xfId="0" applyFont="1" applyFill="1" applyAlignment="1">
      <alignment horizontal="center" wrapText="1"/>
    </xf>
    <xf numFmtId="0" fontId="13" fillId="0" borderId="0" xfId="0" applyFont="1" applyAlignment="1">
      <alignment horizontal="right" vertical="center"/>
    </xf>
    <xf numFmtId="0" fontId="4" fillId="12" borderId="17" xfId="0" applyFont="1" applyFill="1" applyBorder="1" applyAlignment="1">
      <alignment horizontal="center" vertical="center"/>
    </xf>
    <xf numFmtId="0" fontId="4" fillId="10" borderId="1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1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top"/>
    </xf>
    <xf numFmtId="0" fontId="4" fillId="9" borderId="5" xfId="0" applyFont="1" applyFill="1" applyBorder="1" applyAlignment="1">
      <alignment horizontal="center" wrapText="1"/>
    </xf>
    <xf numFmtId="0" fontId="4" fillId="9" borderId="13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indent="1"/>
    </xf>
    <xf numFmtId="0" fontId="16" fillId="0" borderId="0" xfId="0" quotePrefix="1" applyFont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14" borderId="1" xfId="0" applyFont="1" applyFill="1" applyBorder="1" applyAlignment="1">
      <alignment horizontal="center" vertical="top"/>
    </xf>
    <xf numFmtId="0" fontId="22" fillId="0" borderId="0" xfId="0" applyFont="1">
      <alignment vertical="center"/>
    </xf>
    <xf numFmtId="0" fontId="3" fillId="0" borderId="2" xfId="0" applyFont="1" applyBorder="1" applyAlignment="1"/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indent="1"/>
    </xf>
    <xf numFmtId="0" fontId="2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indent="1"/>
    </xf>
    <xf numFmtId="0" fontId="20" fillId="0" borderId="0" xfId="0" applyFont="1" applyAlignment="1">
      <alignment horizontal="left" vertical="top" wrapText="1"/>
    </xf>
    <xf numFmtId="0" fontId="20" fillId="0" borderId="0" xfId="0" quotePrefix="1" applyFont="1" applyAlignment="1">
      <alignment horizontal="left" vertical="center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0" fillId="0" borderId="0" xfId="0" quotePrefix="1" applyFont="1">
      <alignment vertical="center"/>
    </xf>
    <xf numFmtId="0" fontId="3" fillId="8" borderId="0" xfId="0" applyFont="1" applyFill="1">
      <alignment vertical="center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14" fontId="3" fillId="8" borderId="0" xfId="0" applyNumberFormat="1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164" fontId="3" fillId="0" borderId="0" xfId="1" applyFont="1" applyFill="1" applyAlignment="1">
      <alignment vertical="center" wrapText="1"/>
    </xf>
    <xf numFmtId="0" fontId="33" fillId="0" borderId="0" xfId="0" applyFont="1">
      <alignment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1" applyFont="1" applyFill="1" applyBorder="1" applyAlignment="1">
      <alignment horizontal="left" vertical="top"/>
    </xf>
    <xf numFmtId="164" fontId="10" fillId="0" borderId="0" xfId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1" applyNumberFormat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left" vertical="top"/>
    </xf>
    <xf numFmtId="0" fontId="10" fillId="0" borderId="0" xfId="1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vertical="top"/>
    </xf>
    <xf numFmtId="0" fontId="11" fillId="0" borderId="21" xfId="0" applyFont="1" applyBorder="1" applyAlignment="1">
      <alignment horizontal="left" wrapText="1"/>
    </xf>
    <xf numFmtId="164" fontId="11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22" xfId="0" applyFont="1" applyBorder="1" applyAlignment="1">
      <alignment vertical="top"/>
    </xf>
    <xf numFmtId="0" fontId="10" fillId="0" borderId="23" xfId="0" applyFont="1" applyBorder="1" applyAlignment="1">
      <alignment horizontal="left" wrapText="1"/>
    </xf>
    <xf numFmtId="0" fontId="36" fillId="0" borderId="5" xfId="0" applyFont="1" applyBorder="1">
      <alignment vertical="center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22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6" fillId="0" borderId="0" xfId="0" quotePrefix="1" applyFont="1">
      <alignment vertical="center"/>
    </xf>
    <xf numFmtId="0" fontId="37" fillId="0" borderId="21" xfId="0" applyFont="1" applyBorder="1" applyAlignment="1">
      <alignment horizontal="left"/>
    </xf>
    <xf numFmtId="0" fontId="11" fillId="0" borderId="21" xfId="0" applyFont="1" applyBorder="1" applyAlignment="1"/>
    <xf numFmtId="0" fontId="10" fillId="0" borderId="21" xfId="0" applyFont="1" applyBorder="1" applyAlignment="1">
      <alignment horizontal="center" wrapText="1"/>
    </xf>
    <xf numFmtId="0" fontId="10" fillId="0" borderId="21" xfId="0" applyFont="1" applyBorder="1" applyAlignment="1">
      <alignment horizontal="left"/>
    </xf>
    <xf numFmtId="0" fontId="10" fillId="13" borderId="21" xfId="0" applyFont="1" applyFill="1" applyBorder="1">
      <alignment vertical="center"/>
    </xf>
    <xf numFmtId="0" fontId="10" fillId="0" borderId="21" xfId="0" applyFont="1" applyBorder="1" applyAlignment="1">
      <alignment horizontal="center" vertical="top" wrapText="1"/>
    </xf>
    <xf numFmtId="0" fontId="38" fillId="0" borderId="0" xfId="0" applyFont="1">
      <alignment vertical="center"/>
    </xf>
    <xf numFmtId="0" fontId="10" fillId="0" borderId="2" xfId="0" applyFont="1" applyBorder="1" applyAlignment="1"/>
    <xf numFmtId="0" fontId="11" fillId="0" borderId="2" xfId="0" applyFont="1" applyBorder="1" applyAlignment="1"/>
    <xf numFmtId="0" fontId="10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indent="1"/>
    </xf>
    <xf numFmtId="0" fontId="1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36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1" fillId="0" borderId="0" xfId="0" applyFont="1" applyAlignment="1" applyProtection="1">
      <alignment horizontal="center" vertical="top" wrapText="1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 applyProtection="1">
      <alignment horizontal="center" vertical="top" wrapText="1"/>
      <protection locked="0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14" fontId="11" fillId="12" borderId="1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>
      <alignment vertical="center"/>
    </xf>
    <xf numFmtId="0" fontId="11" fillId="12" borderId="1" xfId="0" applyFont="1" applyFill="1" applyBorder="1" applyAlignment="1" applyProtection="1">
      <alignment vertical="top" wrapText="1"/>
      <protection locked="0"/>
    </xf>
    <xf numFmtId="0" fontId="11" fillId="12" borderId="1" xfId="0" applyFont="1" applyFill="1" applyBorder="1" applyAlignment="1" applyProtection="1">
      <alignment vertical="center" wrapText="1"/>
      <protection locked="0"/>
    </xf>
    <xf numFmtId="0" fontId="10" fillId="0" borderId="1" xfId="3" applyFont="1" applyBorder="1" applyAlignment="1">
      <alignment horizontal="center" wrapText="1"/>
    </xf>
    <xf numFmtId="0" fontId="9" fillId="0" borderId="28" xfId="4" applyFont="1" applyBorder="1" applyAlignment="1">
      <alignment horizontal="center" wrapText="1"/>
    </xf>
    <xf numFmtId="0" fontId="10" fillId="0" borderId="21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14" borderId="18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71" fontId="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1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10" fillId="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1" fillId="12" borderId="8" xfId="0" applyFont="1" applyFill="1" applyBorder="1" applyAlignment="1" applyProtection="1">
      <alignment horizontal="left" vertical="center"/>
      <protection locked="0"/>
    </xf>
    <xf numFmtId="0" fontId="11" fillId="12" borderId="10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18" xfId="4" applyFont="1" applyBorder="1" applyAlignment="1">
      <alignment horizontal="center" wrapText="1"/>
    </xf>
    <xf numFmtId="0" fontId="9" fillId="0" borderId="19" xfId="4" applyFont="1" applyBorder="1" applyAlignment="1">
      <alignment horizontal="center" wrapText="1"/>
    </xf>
    <xf numFmtId="0" fontId="9" fillId="0" borderId="20" xfId="4" applyFont="1" applyBorder="1" applyAlignment="1">
      <alignment horizontal="center" wrapText="1"/>
    </xf>
    <xf numFmtId="0" fontId="9" fillId="0" borderId="24" xfId="4" applyFont="1" applyBorder="1" applyAlignment="1">
      <alignment horizontal="center" wrapText="1"/>
    </xf>
    <xf numFmtId="0" fontId="9" fillId="0" borderId="26" xfId="4" applyFont="1" applyBorder="1" applyAlignment="1">
      <alignment horizontal="center" wrapText="1"/>
    </xf>
    <xf numFmtId="0" fontId="9" fillId="0" borderId="25" xfId="4" applyFont="1" applyBorder="1" applyAlignment="1">
      <alignment horizontal="center" wrapText="1"/>
    </xf>
    <xf numFmtId="0" fontId="9" fillId="0" borderId="27" xfId="4" applyFont="1" applyBorder="1" applyAlignment="1">
      <alignment horizontal="center" wrapText="1"/>
    </xf>
    <xf numFmtId="0" fontId="8" fillId="0" borderId="18" xfId="4" applyFont="1" applyBorder="1" applyAlignment="1">
      <alignment horizontal="center"/>
    </xf>
    <xf numFmtId="0" fontId="8" fillId="0" borderId="20" xfId="4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4" fillId="9" borderId="0" xfId="0" applyFont="1" applyFill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20" fillId="9" borderId="8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left" vertical="top"/>
    </xf>
    <xf numFmtId="0" fontId="3" fillId="10" borderId="10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right" vertical="top" wrapText="1"/>
    </xf>
    <xf numFmtId="0" fontId="4" fillId="9" borderId="12" xfId="0" applyFont="1" applyFill="1" applyBorder="1" applyAlignment="1">
      <alignment horizontal="right" vertical="top" wrapText="1"/>
    </xf>
    <xf numFmtId="0" fontId="3" fillId="10" borderId="0" xfId="0" applyFont="1" applyFill="1" applyAlignment="1">
      <alignment horizontal="left" vertical="center" wrapText="1"/>
    </xf>
    <xf numFmtId="0" fontId="27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left" wrapText="1"/>
    </xf>
    <xf numFmtId="0" fontId="4" fillId="10" borderId="2" xfId="0" applyFont="1" applyFill="1" applyBorder="1" applyAlignment="1">
      <alignment horizontal="left" wrapText="1"/>
    </xf>
    <xf numFmtId="0" fontId="4" fillId="10" borderId="3" xfId="0" applyFont="1" applyFill="1" applyBorder="1" applyAlignment="1">
      <alignment horizontal="left" wrapText="1"/>
    </xf>
    <xf numFmtId="0" fontId="3" fillId="10" borderId="0" xfId="0" applyFont="1" applyFill="1" applyAlignment="1">
      <alignment horizontal="right" vertical="center" wrapText="1"/>
    </xf>
    <xf numFmtId="0" fontId="4" fillId="10" borderId="0" xfId="0" applyFont="1" applyFill="1" applyAlignment="1">
      <alignment horizontal="right" wrapText="1"/>
    </xf>
    <xf numFmtId="0" fontId="21" fillId="10" borderId="8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1" borderId="8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right" vertical="center"/>
    </xf>
    <xf numFmtId="0" fontId="3" fillId="10" borderId="1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right" vertical="center" wrapText="1"/>
    </xf>
    <xf numFmtId="0" fontId="4" fillId="10" borderId="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4" xr:uid="{388DC9A5-5FD2-487C-BE99-A90A667B478C}"/>
    <cellStyle name="Normal 3" xfId="3" xr:uid="{9854F58E-9732-49D2-9502-8B0F9DA5D0FD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353481</xdr:colOff>
      <xdr:row>0</xdr:row>
      <xdr:rowOff>85727</xdr:rowOff>
    </xdr:from>
    <xdr:to>
      <xdr:col>9</xdr:col>
      <xdr:colOff>733424</xdr:colOff>
      <xdr:row>1</xdr:row>
      <xdr:rowOff>191561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11556" y="85727"/>
          <a:ext cx="1532468" cy="3534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500" b="1">
              <a:latin typeface="Arial" panose="020B0604020202020204" pitchFamily="34" charset="0"/>
              <a:cs typeface="Arial" panose="020B0604020202020204" pitchFamily="34" charset="0"/>
            </a:rPr>
            <a:t>Appendix II</a:t>
          </a:r>
        </a:p>
      </xdr:txBody>
    </xdr:sp>
    <xdr:clientData/>
  </xdr:twoCellAnchor>
  <xdr:twoCellAnchor>
    <xdr:from>
      <xdr:col>8</xdr:col>
      <xdr:colOff>390525</xdr:colOff>
      <xdr:row>1</xdr:row>
      <xdr:rowOff>190500</xdr:rowOff>
    </xdr:from>
    <xdr:to>
      <xdr:col>9</xdr:col>
      <xdr:colOff>419100</xdr:colOff>
      <xdr:row>4</xdr:row>
      <xdr:rowOff>200025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848600" y="438150"/>
          <a:ext cx="118110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DRAFT</a:t>
          </a:r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altLang="zh-TW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Nov 2019</a:t>
          </a:r>
          <a:endParaRPr lang="zh-TW" alt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21166</xdr:rowOff>
    </xdr:from>
    <xdr:to>
      <xdr:col>12</xdr:col>
      <xdr:colOff>2042584</xdr:colOff>
      <xdr:row>0</xdr:row>
      <xdr:rowOff>364066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468100" y="21166"/>
          <a:ext cx="1652059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Appendix 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128590</xdr:colOff>
      <xdr:row>125</xdr:row>
      <xdr:rowOff>14552</xdr:rowOff>
    </xdr:from>
    <xdr:to>
      <xdr:col>1</xdr:col>
      <xdr:colOff>447410</xdr:colOff>
      <xdr:row>125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66715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47626</xdr:colOff>
      <xdr:row>165</xdr:row>
      <xdr:rowOff>157161</xdr:rowOff>
    </xdr:from>
    <xdr:to>
      <xdr:col>2</xdr:col>
      <xdr:colOff>3922059</xdr:colOff>
      <xdr:row>171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82950" y="33449837"/>
          <a:ext cx="5667374" cy="873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1: Foundation (Knowledge and Comprehension)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2: Intermediate (Application and Analysis)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Level 3: Advanced (Integration and Evaluation)</a:t>
          </a:r>
        </a:p>
      </xdr:txBody>
    </xdr:sp>
    <xdr:clientData/>
  </xdr:twoCellAnchor>
  <xdr:twoCellAnchor>
    <xdr:from>
      <xdr:col>1</xdr:col>
      <xdr:colOff>71440</xdr:colOff>
      <xdr:row>66</xdr:row>
      <xdr:rowOff>14552</xdr:rowOff>
    </xdr:from>
    <xdr:to>
      <xdr:col>1</xdr:col>
      <xdr:colOff>390260</xdr:colOff>
      <xdr:row>66</xdr:row>
      <xdr:rowOff>154781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09565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54428</xdr:colOff>
      <xdr:row>170</xdr:row>
      <xdr:rowOff>231321</xdr:rowOff>
    </xdr:from>
    <xdr:to>
      <xdr:col>2</xdr:col>
      <xdr:colOff>3928861</xdr:colOff>
      <xdr:row>179</xdr:row>
      <xdr:rowOff>54428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99357" y="38372142"/>
          <a:ext cx="5697790" cy="1197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Key:   </a:t>
          </a:r>
        </a:p>
        <a:p>
          <a:r>
            <a:rPr lang="en-US"/>
            <a:t>Basic: Foundation skills of a certified public accountant (“CPA”) that are expected to be achieved within the first half period of the required years of practical experience</a:t>
          </a:r>
        </a:p>
        <a:p>
          <a:endParaRPr lang="en-US"/>
        </a:p>
        <a:p>
          <a:r>
            <a:rPr lang="en-US"/>
            <a:t>Principal: More advanced level competencies that are expected to be achieved during the second half of the required practical experience. 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117</xdr:row>
      <xdr:rowOff>14552</xdr:rowOff>
    </xdr:from>
    <xdr:to>
      <xdr:col>0</xdr:col>
      <xdr:colOff>485510</xdr:colOff>
      <xdr:row>117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163</xdr:row>
      <xdr:rowOff>157161</xdr:rowOff>
    </xdr:from>
    <xdr:to>
      <xdr:col>1</xdr:col>
      <xdr:colOff>1654968</xdr:colOff>
      <xdr:row>171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58</xdr:row>
      <xdr:rowOff>14552</xdr:rowOff>
    </xdr:from>
    <xdr:to>
      <xdr:col>0</xdr:col>
      <xdr:colOff>485510</xdr:colOff>
      <xdr:row>58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176</xdr:row>
      <xdr:rowOff>166686</xdr:rowOff>
    </xdr:from>
    <xdr:to>
      <xdr:col>9</xdr:col>
      <xdr:colOff>1066800</xdr:colOff>
      <xdr:row>179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166690</xdr:colOff>
      <xdr:row>115</xdr:row>
      <xdr:rowOff>14552</xdr:rowOff>
    </xdr:from>
    <xdr:to>
      <xdr:col>0</xdr:col>
      <xdr:colOff>485510</xdr:colOff>
      <xdr:row>115</xdr:row>
      <xdr:rowOff>154781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6690" y="24560477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47626</xdr:colOff>
      <xdr:row>161</xdr:row>
      <xdr:rowOff>157161</xdr:rowOff>
    </xdr:from>
    <xdr:to>
      <xdr:col>1</xdr:col>
      <xdr:colOff>1654968</xdr:colOff>
      <xdr:row>168</xdr:row>
      <xdr:rowOff>119061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47626" y="34342386"/>
          <a:ext cx="3398042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Key:   </a:t>
          </a:r>
        </a:p>
        <a:p>
          <a:r>
            <a:rPr lang="en-US" sz="1100"/>
            <a:t>Level 1: Foundation (Knowledge and Comprehension)</a:t>
          </a:r>
        </a:p>
        <a:p>
          <a:r>
            <a:rPr lang="en-US" sz="1100"/>
            <a:t>Level 2: Intermediate (Application and Analysis)</a:t>
          </a:r>
        </a:p>
        <a:p>
          <a:r>
            <a:rPr lang="en-US" sz="1100"/>
            <a:t>Level 3: Advanced (Integration and Evaluation)</a:t>
          </a:r>
        </a:p>
      </xdr:txBody>
    </xdr:sp>
    <xdr:clientData/>
  </xdr:twoCellAnchor>
  <xdr:twoCellAnchor>
    <xdr:from>
      <xdr:col>0</xdr:col>
      <xdr:colOff>166690</xdr:colOff>
      <xdr:row>57</xdr:row>
      <xdr:rowOff>14552</xdr:rowOff>
    </xdr:from>
    <xdr:to>
      <xdr:col>0</xdr:col>
      <xdr:colOff>485510</xdr:colOff>
      <xdr:row>57</xdr:row>
      <xdr:rowOff>154781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66690" y="13063802"/>
          <a:ext cx="318820" cy="140229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38100</xdr:colOff>
      <xdr:row>173</xdr:row>
      <xdr:rowOff>166686</xdr:rowOff>
    </xdr:from>
    <xdr:to>
      <xdr:col>9</xdr:col>
      <xdr:colOff>1066800</xdr:colOff>
      <xdr:row>176</xdr:row>
      <xdr:rowOff>95251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8100" y="36980811"/>
          <a:ext cx="11029950" cy="528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Required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length of practical experience period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varies according to the QP student’s academic qualification for (i) Approved degree holders or QP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students graduated from the Associate Level of the new QP/ (ii)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Approved accountancy diploma holders/ (iii) Holders of other academic qualifications.</a:t>
          </a:r>
          <a:endParaRPr lang="en-US" sz="1100"/>
        </a:p>
      </xdr:txBody>
    </xdr:sp>
    <xdr:clientData/>
  </xdr:twoCellAnchor>
  <xdr:twoCellAnchor>
    <xdr:from>
      <xdr:col>7</xdr:col>
      <xdr:colOff>400051</xdr:colOff>
      <xdr:row>0</xdr:row>
      <xdr:rowOff>0</xdr:rowOff>
    </xdr:from>
    <xdr:to>
      <xdr:col>9</xdr:col>
      <xdr:colOff>1019176</xdr:colOff>
      <xdr:row>0</xdr:row>
      <xdr:rowOff>416718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9839326" y="0"/>
          <a:ext cx="1181100" cy="4167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Sample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imeanddate.com/date/workdays.html" TargetMode="External"/><Relationship Id="rId1" Type="http://schemas.openxmlformats.org/officeDocument/2006/relationships/hyperlink" Target="https://www.gov.hk/tc/about/abouthk/holiday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M96"/>
  <sheetViews>
    <sheetView workbookViewId="0">
      <selection activeCell="B4" sqref="B4"/>
    </sheetView>
  </sheetViews>
  <sheetFormatPr defaultColWidth="9" defaultRowHeight="15"/>
  <cols>
    <col min="1" max="1" width="4.125" style="1" customWidth="1"/>
    <col min="2" max="2" width="19.5" style="1" customWidth="1"/>
    <col min="3" max="3" width="67.875" style="1" customWidth="1"/>
    <col min="4" max="4" width="12.5" style="1" customWidth="1"/>
    <col min="5" max="5" width="4" style="1" customWidth="1"/>
    <col min="6" max="6" width="14" style="1" customWidth="1"/>
    <col min="7" max="8" width="9" style="1"/>
    <col min="9" max="9" width="6.125" style="1" customWidth="1"/>
    <col min="10" max="10" width="3.5" style="44" customWidth="1"/>
    <col min="11" max="11" width="42" style="1" customWidth="1"/>
    <col min="12" max="12" width="9.125" style="1" bestFit="1" customWidth="1"/>
    <col min="13" max="13" width="53.5" style="1" customWidth="1"/>
    <col min="14" max="16384" width="9" style="1"/>
  </cols>
  <sheetData>
    <row r="1" spans="1:13" ht="20.25">
      <c r="A1" s="71" t="s">
        <v>172</v>
      </c>
      <c r="B1" s="72"/>
      <c r="C1" s="72"/>
      <c r="D1" s="51"/>
      <c r="E1" s="51"/>
      <c r="F1" s="51"/>
      <c r="G1" s="51"/>
      <c r="H1" s="51"/>
      <c r="I1" s="51"/>
    </row>
    <row r="2" spans="1:13" ht="20.25">
      <c r="A2" s="45"/>
      <c r="B2" s="52"/>
      <c r="C2" s="52"/>
      <c r="D2" s="51"/>
      <c r="E2" s="51"/>
      <c r="F2" s="51"/>
      <c r="G2" s="51"/>
      <c r="H2" s="51"/>
      <c r="I2" s="51"/>
      <c r="K2" s="17" t="s">
        <v>178</v>
      </c>
    </row>
    <row r="3" spans="1:13" ht="15.75">
      <c r="A3" s="2" t="s">
        <v>173</v>
      </c>
      <c r="K3" s="59" t="s">
        <v>185</v>
      </c>
      <c r="L3" s="47"/>
      <c r="M3" s="46" t="s">
        <v>187</v>
      </c>
    </row>
    <row r="4" spans="1:13" ht="15.75">
      <c r="B4" s="1" t="s">
        <v>351</v>
      </c>
      <c r="K4" s="2" t="s">
        <v>184</v>
      </c>
    </row>
    <row r="5" spans="1:13">
      <c r="B5" s="1" t="s">
        <v>350</v>
      </c>
      <c r="K5" s="5" t="s">
        <v>98</v>
      </c>
      <c r="L5" s="1">
        <v>365</v>
      </c>
      <c r="M5" s="1" t="s">
        <v>180</v>
      </c>
    </row>
    <row r="6" spans="1:13">
      <c r="B6" s="1" t="s">
        <v>257</v>
      </c>
      <c r="K6" s="5" t="s">
        <v>179</v>
      </c>
      <c r="L6" s="1">
        <v>249</v>
      </c>
      <c r="M6" s="1" t="s">
        <v>175</v>
      </c>
    </row>
    <row r="7" spans="1:13" ht="15.75">
      <c r="K7" s="5" t="s">
        <v>181</v>
      </c>
      <c r="L7" s="22">
        <v>130</v>
      </c>
    </row>
    <row r="8" spans="1:13" ht="20.25" customHeight="1">
      <c r="A8" s="52"/>
      <c r="B8" s="104" t="s">
        <v>332</v>
      </c>
      <c r="C8" s="106"/>
      <c r="D8" s="105"/>
      <c r="E8" s="105"/>
      <c r="K8" s="58" t="s">
        <v>250</v>
      </c>
      <c r="L8" s="1">
        <f>L6-L7</f>
        <v>119</v>
      </c>
    </row>
    <row r="9" spans="1:13" ht="47.25" customHeight="1">
      <c r="B9" s="413" t="s">
        <v>342</v>
      </c>
      <c r="C9" s="413"/>
      <c r="K9" s="32" t="s">
        <v>182</v>
      </c>
      <c r="L9" s="66">
        <f>L7/L6</f>
        <v>0.52208835341365467</v>
      </c>
    </row>
    <row r="11" spans="1:13" ht="15.75">
      <c r="K11" s="2" t="s">
        <v>183</v>
      </c>
    </row>
    <row r="12" spans="1:13" ht="15.75">
      <c r="K12" s="5" t="s">
        <v>251</v>
      </c>
      <c r="L12" s="103" t="e">
        <f>Comparison!#REF!</f>
        <v>#REF!</v>
      </c>
      <c r="M12" s="1" t="s">
        <v>109</v>
      </c>
    </row>
    <row r="13" spans="1:13" ht="15.75">
      <c r="K13" s="5" t="s">
        <v>252</v>
      </c>
      <c r="L13" s="103" t="e">
        <f>Comparison!#REF!</f>
        <v>#REF!</v>
      </c>
      <c r="M13" s="1" t="s">
        <v>109</v>
      </c>
    </row>
    <row r="14" spans="1:13" ht="15.75">
      <c r="K14" s="5" t="s">
        <v>253</v>
      </c>
      <c r="L14" s="103" t="e">
        <f>Comparison!#REF!</f>
        <v>#REF!</v>
      </c>
      <c r="M14" s="1" t="s">
        <v>109</v>
      </c>
    </row>
    <row r="15" spans="1:13" ht="31.5">
      <c r="K15" s="32" t="s">
        <v>255</v>
      </c>
      <c r="L15" s="67" t="e">
        <f>L12/L6</f>
        <v>#REF!</v>
      </c>
    </row>
    <row r="16" spans="1:13" ht="15.75">
      <c r="K16" s="32"/>
      <c r="L16" s="25"/>
    </row>
    <row r="17" spans="1:13" ht="15.75">
      <c r="A17" s="55" t="s">
        <v>65</v>
      </c>
      <c r="B17" s="53"/>
      <c r="C17" s="54"/>
      <c r="D17" s="54"/>
      <c r="E17" s="54"/>
      <c r="F17" s="54"/>
      <c r="G17" s="54"/>
      <c r="H17" s="54"/>
      <c r="I17" s="54"/>
      <c r="K17" s="57" t="s">
        <v>65</v>
      </c>
      <c r="L17" s="54"/>
      <c r="M17" s="54"/>
    </row>
    <row r="18" spans="1:13" ht="20.25" customHeight="1">
      <c r="A18" s="2" t="s">
        <v>174</v>
      </c>
      <c r="K18" s="59" t="s">
        <v>100</v>
      </c>
      <c r="M18" s="46" t="s">
        <v>187</v>
      </c>
    </row>
    <row r="19" spans="1:13" ht="15.75">
      <c r="B19" s="2" t="s">
        <v>256</v>
      </c>
      <c r="K19" s="2" t="s">
        <v>184</v>
      </c>
    </row>
    <row r="20" spans="1:13" ht="15.75">
      <c r="A20" s="2"/>
      <c r="K20" s="5" t="s">
        <v>98</v>
      </c>
      <c r="L20" s="1">
        <f>L5</f>
        <v>365</v>
      </c>
    </row>
    <row r="21" spans="1:13" ht="15.75">
      <c r="A21" s="2" t="s">
        <v>74</v>
      </c>
      <c r="B21" s="2"/>
      <c r="C21" s="2"/>
      <c r="K21" s="5" t="str">
        <f>K6</f>
        <v xml:space="preserve">No. of total working days per year </v>
      </c>
      <c r="L21" s="1">
        <f>3*52</f>
        <v>156</v>
      </c>
      <c r="M21" s="1" t="s">
        <v>188</v>
      </c>
    </row>
    <row r="22" spans="1:13" ht="34.5" customHeight="1">
      <c r="C22" s="5" t="s">
        <v>73</v>
      </c>
      <c r="D22" s="1">
        <v>249</v>
      </c>
      <c r="E22" s="1" t="s">
        <v>175</v>
      </c>
      <c r="K22" s="5" t="s">
        <v>99</v>
      </c>
      <c r="L22" s="23">
        <f>D27</f>
        <v>130</v>
      </c>
    </row>
    <row r="23" spans="1:13">
      <c r="C23" s="5" t="s">
        <v>177</v>
      </c>
      <c r="D23" s="1">
        <v>15</v>
      </c>
      <c r="E23" s="1" t="s">
        <v>176</v>
      </c>
      <c r="K23" s="58" t="s">
        <v>250</v>
      </c>
      <c r="L23" s="20">
        <f>L21-L22</f>
        <v>26</v>
      </c>
      <c r="M23" s="7"/>
    </row>
    <row r="24" spans="1:13" ht="31.5">
      <c r="K24" s="32" t="s">
        <v>121</v>
      </c>
      <c r="L24" s="68">
        <f>L22/L21</f>
        <v>0.83333333333333337</v>
      </c>
      <c r="M24" s="1" t="s">
        <v>186</v>
      </c>
    </row>
    <row r="25" spans="1:13" ht="31.5">
      <c r="C25" s="61" t="s">
        <v>193</v>
      </c>
      <c r="D25" s="56" t="s">
        <v>70</v>
      </c>
      <c r="E25" s="10" t="s">
        <v>67</v>
      </c>
      <c r="F25" s="56" t="s">
        <v>71</v>
      </c>
    </row>
    <row r="26" spans="1:13" ht="15.75">
      <c r="C26" s="5" t="s">
        <v>68</v>
      </c>
      <c r="D26" s="1">
        <f>3*52</f>
        <v>156</v>
      </c>
      <c r="F26" s="1">
        <f>3*53</f>
        <v>159</v>
      </c>
      <c r="K26" s="2" t="s">
        <v>183</v>
      </c>
    </row>
    <row r="27" spans="1:13" ht="15.75">
      <c r="B27" s="5"/>
      <c r="C27" s="5" t="s">
        <v>72</v>
      </c>
      <c r="D27" s="22">
        <v>130</v>
      </c>
      <c r="E27" s="26"/>
      <c r="F27" s="22">
        <f>D27</f>
        <v>130</v>
      </c>
      <c r="K27" s="5" t="s">
        <v>251</v>
      </c>
      <c r="L27" s="103" t="e">
        <f>L12</f>
        <v>#REF!</v>
      </c>
      <c r="M27" s="1" t="s">
        <v>109</v>
      </c>
    </row>
    <row r="28" spans="1:13" ht="15.75">
      <c r="C28" s="5" t="s">
        <v>254</v>
      </c>
      <c r="D28" s="1">
        <f>D26-D27</f>
        <v>26</v>
      </c>
      <c r="F28" s="1">
        <f>F26-F27</f>
        <v>29</v>
      </c>
      <c r="K28" s="5" t="s">
        <v>252</v>
      </c>
      <c r="L28" s="103" t="e">
        <f>L13</f>
        <v>#REF!</v>
      </c>
      <c r="M28" s="1" t="s">
        <v>109</v>
      </c>
    </row>
    <row r="29" spans="1:13" ht="15.75">
      <c r="C29" s="5"/>
      <c r="K29" s="5" t="s">
        <v>253</v>
      </c>
      <c r="L29" s="103" t="e">
        <f>L14</f>
        <v>#REF!</v>
      </c>
      <c r="M29" s="1" t="s">
        <v>109</v>
      </c>
    </row>
    <row r="30" spans="1:13" ht="31.5">
      <c r="A30" s="17" t="s">
        <v>94</v>
      </c>
      <c r="K30" s="32" t="s">
        <v>258</v>
      </c>
      <c r="L30" s="67" t="e">
        <f>L27/L21</f>
        <v>#REF!</v>
      </c>
      <c r="M30" s="1" t="s">
        <v>186</v>
      </c>
    </row>
    <row r="31" spans="1:13" ht="39.75" customHeight="1">
      <c r="A31" s="415" t="s">
        <v>189</v>
      </c>
      <c r="B31" s="415"/>
      <c r="C31" s="415"/>
      <c r="D31" s="415"/>
      <c r="E31" s="415"/>
      <c r="F31" s="415"/>
      <c r="G31" s="415"/>
      <c r="H31" s="415"/>
      <c r="I31" s="415"/>
      <c r="K31" s="32"/>
      <c r="L31" s="25"/>
    </row>
    <row r="32" spans="1:13" ht="42" customHeight="1">
      <c r="A32" s="73" t="s">
        <v>114</v>
      </c>
      <c r="B32" s="415" t="s">
        <v>260</v>
      </c>
      <c r="C32" s="415"/>
      <c r="D32" s="415"/>
      <c r="E32" s="415"/>
      <c r="F32" s="415"/>
      <c r="G32" s="415"/>
      <c r="H32" s="415"/>
      <c r="I32" s="415"/>
      <c r="K32" s="32"/>
      <c r="L32" s="25"/>
    </row>
    <row r="33" spans="1:13" ht="36.75" customHeight="1">
      <c r="A33" s="73" t="s">
        <v>116</v>
      </c>
      <c r="B33" s="415" t="s">
        <v>259</v>
      </c>
      <c r="C33" s="415"/>
      <c r="D33" s="415"/>
      <c r="E33" s="415"/>
      <c r="F33" s="415"/>
      <c r="G33" s="415"/>
      <c r="H33" s="415"/>
      <c r="I33" s="415"/>
      <c r="K33" s="32"/>
      <c r="L33" s="25"/>
    </row>
    <row r="34" spans="1:13" ht="36.75" customHeight="1">
      <c r="A34" s="73" t="s">
        <v>117</v>
      </c>
      <c r="B34" s="415" t="s">
        <v>261</v>
      </c>
      <c r="C34" s="415"/>
      <c r="D34" s="415"/>
      <c r="E34" s="415"/>
      <c r="F34" s="415"/>
      <c r="G34" s="415"/>
      <c r="H34" s="415"/>
      <c r="I34" s="415"/>
      <c r="K34" s="32"/>
      <c r="L34" s="25"/>
    </row>
    <row r="35" spans="1:13" ht="15.75">
      <c r="A35" s="60" t="s">
        <v>190</v>
      </c>
      <c r="B35" s="2"/>
      <c r="K35" s="32"/>
      <c r="L35" s="25"/>
    </row>
    <row r="36" spans="1:13" ht="15.75">
      <c r="K36" s="32"/>
      <c r="L36" s="25"/>
    </row>
    <row r="37" spans="1:13" ht="15.75">
      <c r="A37" s="55" t="s">
        <v>119</v>
      </c>
      <c r="B37" s="53"/>
      <c r="C37" s="54"/>
      <c r="D37" s="54"/>
      <c r="E37" s="54"/>
      <c r="F37" s="54"/>
      <c r="G37" s="54"/>
      <c r="H37" s="54"/>
      <c r="I37" s="54"/>
      <c r="K37" s="55" t="s">
        <v>113</v>
      </c>
      <c r="L37" s="54"/>
      <c r="M37" s="54"/>
    </row>
    <row r="38" spans="1:13" ht="15.75">
      <c r="A38" s="2" t="s">
        <v>191</v>
      </c>
      <c r="K38" s="17" t="s">
        <v>100</v>
      </c>
    </row>
    <row r="39" spans="1:13" ht="15.75">
      <c r="B39" s="2" t="s">
        <v>192</v>
      </c>
      <c r="K39" s="2" t="s">
        <v>184</v>
      </c>
    </row>
    <row r="40" spans="1:13">
      <c r="K40" s="5" t="s">
        <v>98</v>
      </c>
      <c r="L40" s="1">
        <f>L5</f>
        <v>365</v>
      </c>
    </row>
    <row r="41" spans="1:13" ht="15.75">
      <c r="A41" s="2" t="s">
        <v>74</v>
      </c>
      <c r="B41" s="2"/>
      <c r="C41" s="2"/>
      <c r="K41" s="5" t="s">
        <v>179</v>
      </c>
      <c r="L41" s="1">
        <f>3*52</f>
        <v>156</v>
      </c>
      <c r="M41" s="1" t="s">
        <v>101</v>
      </c>
    </row>
    <row r="42" spans="1:13" ht="15.75">
      <c r="C42" s="5" t="s">
        <v>73</v>
      </c>
      <c r="D42" s="1">
        <v>249</v>
      </c>
      <c r="E42" s="1" t="s">
        <v>175</v>
      </c>
      <c r="K42" s="5" t="s">
        <v>181</v>
      </c>
      <c r="L42" s="23">
        <v>90</v>
      </c>
    </row>
    <row r="43" spans="1:13">
      <c r="C43" s="5" t="s">
        <v>177</v>
      </c>
      <c r="D43" s="1">
        <f>D23</f>
        <v>15</v>
      </c>
      <c r="E43" s="1" t="s">
        <v>176</v>
      </c>
      <c r="K43" s="58" t="s">
        <v>250</v>
      </c>
      <c r="L43" s="20">
        <f>L41-L42</f>
        <v>66</v>
      </c>
    </row>
    <row r="44" spans="1:13" ht="52.5" customHeight="1">
      <c r="K44" s="32" t="s">
        <v>122</v>
      </c>
      <c r="L44" s="68">
        <f>L42/L41</f>
        <v>0.57692307692307687</v>
      </c>
    </row>
    <row r="45" spans="1:13" ht="31.5">
      <c r="C45" s="61" t="s">
        <v>193</v>
      </c>
      <c r="D45" s="56" t="s">
        <v>70</v>
      </c>
      <c r="E45" s="10" t="s">
        <v>67</v>
      </c>
      <c r="F45" s="56" t="s">
        <v>71</v>
      </c>
    </row>
    <row r="46" spans="1:13" ht="17.25" customHeight="1">
      <c r="C46" s="5" t="s">
        <v>68</v>
      </c>
      <c r="D46" s="1">
        <f>D26</f>
        <v>156</v>
      </c>
      <c r="F46" s="1">
        <f>F26</f>
        <v>159</v>
      </c>
      <c r="K46" s="2" t="s">
        <v>194</v>
      </c>
    </row>
    <row r="47" spans="1:13" ht="18" customHeight="1">
      <c r="B47" s="5"/>
      <c r="C47" s="5" t="s">
        <v>72</v>
      </c>
      <c r="D47" s="22">
        <v>90</v>
      </c>
      <c r="E47" s="28"/>
      <c r="F47" s="22">
        <f>D47</f>
        <v>90</v>
      </c>
      <c r="K47" s="5" t="s">
        <v>265</v>
      </c>
      <c r="L47" s="27">
        <v>100</v>
      </c>
      <c r="M47" s="1" t="s">
        <v>109</v>
      </c>
    </row>
    <row r="48" spans="1:13" ht="15.75">
      <c r="C48" s="5" t="s">
        <v>271</v>
      </c>
      <c r="D48" s="1">
        <f>D46-D47</f>
        <v>66</v>
      </c>
      <c r="F48" s="1">
        <f>F46-F47</f>
        <v>69</v>
      </c>
      <c r="K48" s="5" t="s">
        <v>266</v>
      </c>
      <c r="L48" s="27">
        <v>100</v>
      </c>
      <c r="M48" s="1" t="s">
        <v>109</v>
      </c>
    </row>
    <row r="49" spans="1:13" ht="15.75">
      <c r="K49" s="5" t="s">
        <v>267</v>
      </c>
      <c r="L49" s="27">
        <v>100</v>
      </c>
      <c r="M49" s="1" t="s">
        <v>109</v>
      </c>
    </row>
    <row r="50" spans="1:13" ht="31.5">
      <c r="A50" s="17" t="s">
        <v>94</v>
      </c>
      <c r="B50" s="18"/>
      <c r="K50" s="32" t="s">
        <v>123</v>
      </c>
      <c r="L50" s="67">
        <f>L47/L41</f>
        <v>0.64102564102564108</v>
      </c>
    </row>
    <row r="51" spans="1:13" ht="15.75">
      <c r="A51" s="17" t="s">
        <v>334</v>
      </c>
      <c r="B51" s="18"/>
    </row>
    <row r="52" spans="1:13" ht="15.75">
      <c r="A52" s="64" t="s">
        <v>335</v>
      </c>
      <c r="B52" s="65"/>
      <c r="C52" s="63"/>
      <c r="K52" s="2" t="s">
        <v>195</v>
      </c>
    </row>
    <row r="53" spans="1:13" ht="15.75">
      <c r="A53" s="8" t="s">
        <v>115</v>
      </c>
      <c r="B53" s="2" t="s">
        <v>264</v>
      </c>
    </row>
    <row r="54" spans="1:13" ht="15.75">
      <c r="A54" s="8" t="s">
        <v>116</v>
      </c>
      <c r="B54" s="2" t="s">
        <v>262</v>
      </c>
      <c r="K54" s="5" t="s">
        <v>272</v>
      </c>
      <c r="L54" s="27">
        <v>120</v>
      </c>
      <c r="M54" s="1" t="s">
        <v>109</v>
      </c>
    </row>
    <row r="55" spans="1:13" ht="15.75">
      <c r="A55" s="8" t="s">
        <v>117</v>
      </c>
      <c r="B55" s="2" t="s">
        <v>263</v>
      </c>
      <c r="K55" s="5" t="s">
        <v>273</v>
      </c>
      <c r="L55" s="27">
        <v>120</v>
      </c>
      <c r="M55" s="1" t="s">
        <v>109</v>
      </c>
    </row>
    <row r="56" spans="1:13" ht="15.75">
      <c r="A56" s="27" t="s">
        <v>118</v>
      </c>
      <c r="K56" s="5" t="s">
        <v>274</v>
      </c>
      <c r="L56" s="27">
        <v>120</v>
      </c>
      <c r="M56" s="1" t="s">
        <v>109</v>
      </c>
    </row>
    <row r="57" spans="1:13" ht="15.75" hidden="1">
      <c r="A57" s="10" t="s">
        <v>104</v>
      </c>
      <c r="B57" s="9"/>
      <c r="K57" s="8" t="s">
        <v>108</v>
      </c>
      <c r="L57" s="19">
        <f>L54/L41</f>
        <v>0.76923076923076927</v>
      </c>
    </row>
    <row r="58" spans="1:13" ht="15.75" hidden="1">
      <c r="A58" s="2" t="s">
        <v>66</v>
      </c>
      <c r="K58" s="17" t="s">
        <v>100</v>
      </c>
    </row>
    <row r="59" spans="1:13" ht="15.75" hidden="1">
      <c r="A59" s="2" t="s">
        <v>103</v>
      </c>
      <c r="K59" s="1" t="s">
        <v>98</v>
      </c>
      <c r="L59" s="1" t="e">
        <f>L28</f>
        <v>#REF!</v>
      </c>
    </row>
    <row r="60" spans="1:13" hidden="1">
      <c r="K60" s="1" t="str">
        <f>K29</f>
        <v>5 years = 830 days</v>
      </c>
      <c r="L60" s="1">
        <f>3*52</f>
        <v>156</v>
      </c>
      <c r="M60" s="1" t="s">
        <v>101</v>
      </c>
    </row>
    <row r="61" spans="1:13" ht="15.75" hidden="1">
      <c r="A61" s="2" t="s">
        <v>74</v>
      </c>
      <c r="B61" s="2"/>
      <c r="C61" s="2"/>
      <c r="K61" s="1" t="s">
        <v>99</v>
      </c>
      <c r="L61" s="23">
        <f>D67</f>
        <v>120</v>
      </c>
    </row>
    <row r="62" spans="1:13" hidden="1">
      <c r="C62" s="5" t="s">
        <v>73</v>
      </c>
      <c r="D62" s="1">
        <v>249</v>
      </c>
      <c r="L62" s="20">
        <f>L60-L61</f>
        <v>36</v>
      </c>
      <c r="M62" s="1" t="e">
        <f>#REF!</f>
        <v>#REF!</v>
      </c>
    </row>
    <row r="63" spans="1:13" ht="15.75" hidden="1">
      <c r="C63" s="5" t="s">
        <v>105</v>
      </c>
      <c r="D63" s="1">
        <f>D43</f>
        <v>15</v>
      </c>
      <c r="K63" s="8" t="s">
        <v>102</v>
      </c>
      <c r="L63" s="21">
        <f>L61/L60</f>
        <v>0.76923076923076927</v>
      </c>
    </row>
    <row r="64" spans="1:13" hidden="1"/>
    <row r="65" spans="1:13" ht="31.5" hidden="1">
      <c r="C65" s="12" t="s">
        <v>69</v>
      </c>
      <c r="D65" s="11" t="s">
        <v>70</v>
      </c>
      <c r="E65" s="2" t="s">
        <v>67</v>
      </c>
      <c r="F65" s="11" t="s">
        <v>71</v>
      </c>
      <c r="K65" s="2" t="s">
        <v>107</v>
      </c>
    </row>
    <row r="66" spans="1:13" hidden="1">
      <c r="C66" s="5" t="s">
        <v>68</v>
      </c>
      <c r="D66" s="1">
        <f>D26</f>
        <v>156</v>
      </c>
      <c r="F66" s="1">
        <f>F26</f>
        <v>159</v>
      </c>
      <c r="K66" s="5" t="s">
        <v>110</v>
      </c>
      <c r="L66" s="1">
        <v>100</v>
      </c>
      <c r="M66" s="1" t="s">
        <v>109</v>
      </c>
    </row>
    <row r="67" spans="1:13" hidden="1">
      <c r="B67" s="5"/>
      <c r="C67" s="5" t="s">
        <v>72</v>
      </c>
      <c r="D67" s="13">
        <v>120</v>
      </c>
      <c r="E67" s="9"/>
      <c r="F67" s="13">
        <f>D67</f>
        <v>120</v>
      </c>
      <c r="K67" s="5" t="s">
        <v>111</v>
      </c>
      <c r="L67" s="1">
        <v>100</v>
      </c>
      <c r="M67" s="1" t="s">
        <v>109</v>
      </c>
    </row>
    <row r="68" spans="1:13" hidden="1">
      <c r="C68" s="5" t="s">
        <v>106</v>
      </c>
      <c r="D68" s="1">
        <f>D66-D67</f>
        <v>36</v>
      </c>
      <c r="F68" s="1">
        <f>F66-F67</f>
        <v>39</v>
      </c>
      <c r="K68" s="5" t="s">
        <v>112</v>
      </c>
      <c r="L68" s="1">
        <v>100</v>
      </c>
      <c r="M68" s="1" t="s">
        <v>109</v>
      </c>
    </row>
    <row r="69" spans="1:13" ht="15.75" hidden="1">
      <c r="K69" s="8" t="s">
        <v>108</v>
      </c>
      <c r="L69" s="25">
        <f>L66/L60</f>
        <v>0.64102564102564108</v>
      </c>
    </row>
    <row r="70" spans="1:13" ht="15.75" hidden="1">
      <c r="A70" s="17" t="s">
        <v>94</v>
      </c>
      <c r="B70" s="18"/>
    </row>
    <row r="71" spans="1:13" ht="15.75" hidden="1">
      <c r="A71" s="2" t="s">
        <v>66</v>
      </c>
    </row>
    <row r="72" spans="1:13" ht="15.75" hidden="1">
      <c r="A72" s="2" t="s">
        <v>75</v>
      </c>
    </row>
    <row r="73" spans="1:13" ht="15.75" hidden="1">
      <c r="A73" s="2" t="s">
        <v>95</v>
      </c>
    </row>
    <row r="74" spans="1:13" ht="15.75" hidden="1">
      <c r="A74" s="2" t="s">
        <v>96</v>
      </c>
    </row>
    <row r="75" spans="1:13" ht="15.75" hidden="1">
      <c r="A75" s="2" t="s">
        <v>97</v>
      </c>
    </row>
    <row r="76" spans="1:13" hidden="1"/>
    <row r="77" spans="1:13" hidden="1"/>
    <row r="78" spans="1:13" ht="31.5">
      <c r="A78" s="62" t="s">
        <v>336</v>
      </c>
      <c r="B78" s="63"/>
      <c r="C78" s="63"/>
      <c r="K78" s="32" t="s">
        <v>124</v>
      </c>
      <c r="L78" s="67">
        <f>L54/L41</f>
        <v>0.76923076923076927</v>
      </c>
    </row>
    <row r="79" spans="1:13" ht="15.75">
      <c r="A79" s="8" t="s">
        <v>115</v>
      </c>
      <c r="B79" s="2" t="s">
        <v>268</v>
      </c>
    </row>
    <row r="80" spans="1:13" ht="15.75">
      <c r="A80" s="8" t="s">
        <v>116</v>
      </c>
      <c r="B80" s="2" t="s">
        <v>269</v>
      </c>
    </row>
    <row r="81" spans="1:9" ht="15.75">
      <c r="A81" s="8" t="s">
        <v>117</v>
      </c>
      <c r="B81" s="2" t="s">
        <v>270</v>
      </c>
    </row>
    <row r="82" spans="1:9" ht="37.5" customHeight="1">
      <c r="A82" s="413" t="s">
        <v>279</v>
      </c>
      <c r="B82" s="413"/>
      <c r="C82" s="413"/>
      <c r="D82" s="413"/>
      <c r="E82" s="413"/>
      <c r="F82" s="413"/>
      <c r="G82" s="413"/>
      <c r="H82" s="413"/>
    </row>
    <row r="83" spans="1:9" ht="15.75">
      <c r="A83" s="102"/>
      <c r="B83" s="102"/>
      <c r="C83" s="102"/>
      <c r="D83" s="102"/>
      <c r="E83" s="102"/>
      <c r="F83" s="102"/>
      <c r="G83" s="102"/>
      <c r="H83" s="102"/>
    </row>
    <row r="84" spans="1:9" ht="15.75">
      <c r="A84" s="17" t="s">
        <v>337</v>
      </c>
    </row>
    <row r="85" spans="1:9" ht="15.75">
      <c r="A85" s="2" t="s">
        <v>280</v>
      </c>
      <c r="B85" s="18"/>
    </row>
    <row r="86" spans="1:9" ht="15.75">
      <c r="A86" s="8" t="s">
        <v>115</v>
      </c>
      <c r="B86" s="2" t="s">
        <v>276</v>
      </c>
    </row>
    <row r="87" spans="1:9" ht="15.75">
      <c r="A87" s="8" t="s">
        <v>116</v>
      </c>
      <c r="B87" s="2" t="s">
        <v>277</v>
      </c>
    </row>
    <row r="88" spans="1:9" ht="15.75">
      <c r="A88" s="8" t="s">
        <v>117</v>
      </c>
      <c r="B88" s="2" t="s">
        <v>278</v>
      </c>
    </row>
    <row r="89" spans="1:9" ht="15.75">
      <c r="A89" s="8"/>
      <c r="B89" s="2"/>
    </row>
    <row r="90" spans="1:9" ht="15.75" customHeight="1">
      <c r="A90" s="414" t="s">
        <v>333</v>
      </c>
      <c r="B90" s="414"/>
      <c r="C90" s="414"/>
      <c r="D90" s="414"/>
      <c r="E90" s="414"/>
      <c r="F90" s="414"/>
      <c r="G90" s="414"/>
      <c r="H90" s="414"/>
      <c r="I90" s="414"/>
    </row>
    <row r="91" spans="1:9">
      <c r="A91" s="414"/>
      <c r="B91" s="414"/>
      <c r="C91" s="414"/>
      <c r="D91" s="414"/>
      <c r="E91" s="414"/>
      <c r="F91" s="414"/>
      <c r="G91" s="414"/>
      <c r="H91" s="414"/>
      <c r="I91" s="414"/>
    </row>
    <row r="92" spans="1:9">
      <c r="A92" s="29" t="s">
        <v>120</v>
      </c>
      <c r="B92" s="29"/>
      <c r="C92" s="30"/>
    </row>
    <row r="93" spans="1:9">
      <c r="A93" s="30" t="s">
        <v>196</v>
      </c>
      <c r="B93" s="30"/>
      <c r="C93" s="30"/>
    </row>
    <row r="94" spans="1:9" ht="16.5">
      <c r="A94" s="30"/>
      <c r="B94" s="70" t="s">
        <v>275</v>
      </c>
      <c r="C94" s="30"/>
    </row>
    <row r="95" spans="1:9">
      <c r="A95" s="30"/>
      <c r="B95" s="31" t="s">
        <v>197</v>
      </c>
      <c r="C95" s="30"/>
    </row>
    <row r="96" spans="1:9" ht="16.5">
      <c r="B96" s="70"/>
    </row>
  </sheetData>
  <mergeCells count="7">
    <mergeCell ref="B9:C9"/>
    <mergeCell ref="A90:I91"/>
    <mergeCell ref="A82:H82"/>
    <mergeCell ref="A31:I31"/>
    <mergeCell ref="B33:I33"/>
    <mergeCell ref="B34:I34"/>
    <mergeCell ref="B32:I32"/>
  </mergeCells>
  <phoneticPr fontId="2" type="noConversion"/>
  <hyperlinks>
    <hyperlink ref="B95" r:id="rId1" xr:uid="{00000000-0004-0000-0000-000000000000}"/>
    <hyperlink ref="B9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6" orientation="landscape" horizontalDpi="300" verticalDpi="300" r:id="rId3"/>
  <headerFooter>
    <oddHeader>&amp;R&amp;D</oddHeader>
    <oddFooter>&amp;L&amp;"Arial,標準"&amp;10&amp;Z&amp;F&amp;C&amp;"Arial,標準"&amp;10New PEF Part time calculationPage &amp;P of &amp;N</oddFooter>
  </headerFooter>
  <rowBreaks count="1" manualBreakCount="1">
    <brk id="36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0" tint="-0.249977111117893"/>
    <pageSetUpPr fitToPage="1"/>
  </sheetPr>
  <dimension ref="A1:K117"/>
  <sheetViews>
    <sheetView zoomScale="60" zoomScaleNormal="60" zoomScalePageLayoutView="55" workbookViewId="0">
      <selection activeCell="E9" sqref="E9"/>
    </sheetView>
  </sheetViews>
  <sheetFormatPr defaultColWidth="9" defaultRowHeight="15.75"/>
  <cols>
    <col min="1" max="1" width="14.5" style="1" customWidth="1"/>
    <col min="2" max="2" width="74.125" style="1" customWidth="1"/>
    <col min="3" max="7" width="20.5" style="122" customWidth="1"/>
    <col min="8" max="8" width="25.5" style="122" customWidth="1"/>
    <col min="9" max="9" width="25.5" style="2" customWidth="1"/>
    <col min="10" max="10" width="0.5" style="1" hidden="1" customWidth="1"/>
    <col min="11" max="16384" width="9" style="1"/>
  </cols>
  <sheetData>
    <row r="1" spans="1:10" ht="20.25">
      <c r="A1" s="45" t="s">
        <v>709</v>
      </c>
    </row>
    <row r="2" spans="1:10" ht="30" customHeight="1">
      <c r="A2" s="267" t="s">
        <v>670</v>
      </c>
      <c r="C2" s="1"/>
      <c r="D2" s="1"/>
      <c r="E2" s="1"/>
      <c r="F2" s="1"/>
      <c r="G2" s="1"/>
      <c r="H2" s="280"/>
      <c r="I2" s="1"/>
    </row>
    <row r="3" spans="1:10" ht="30" customHeight="1">
      <c r="A3" s="267"/>
      <c r="B3" s="51"/>
      <c r="C3" s="484" t="s">
        <v>566</v>
      </c>
      <c r="D3" s="484"/>
      <c r="E3" s="484"/>
      <c r="F3" s="484"/>
      <c r="G3" s="484"/>
      <c r="H3" s="365"/>
      <c r="I3" s="365"/>
    </row>
    <row r="4" spans="1:10" ht="57" customHeight="1">
      <c r="A4" s="267"/>
      <c r="B4" s="51"/>
      <c r="C4" s="480" t="s">
        <v>392</v>
      </c>
      <c r="D4" s="480" t="s">
        <v>393</v>
      </c>
      <c r="E4" s="480" t="s">
        <v>394</v>
      </c>
      <c r="F4" s="485" t="s">
        <v>547</v>
      </c>
      <c r="G4" s="486"/>
      <c r="H4" s="480" t="s">
        <v>593</v>
      </c>
      <c r="I4" s="480" t="s">
        <v>712</v>
      </c>
    </row>
    <row r="5" spans="1:10" ht="18">
      <c r="A5" s="375" t="s">
        <v>360</v>
      </c>
      <c r="B5" s="376"/>
      <c r="C5" s="481"/>
      <c r="D5" s="481"/>
      <c r="E5" s="481"/>
      <c r="F5" s="377" t="s">
        <v>395</v>
      </c>
      <c r="G5" s="378" t="s">
        <v>396</v>
      </c>
      <c r="H5" s="481"/>
      <c r="I5" s="481"/>
      <c r="J5" s="123"/>
    </row>
    <row r="6" spans="1:10" ht="58.5" customHeight="1">
      <c r="A6" s="379" t="s">
        <v>0</v>
      </c>
      <c r="B6" s="380" t="s">
        <v>374</v>
      </c>
      <c r="C6" s="402"/>
      <c r="D6" s="402"/>
      <c r="E6" s="402"/>
      <c r="F6" s="402"/>
      <c r="G6" s="402"/>
      <c r="H6" s="381">
        <f>SUM(C6:G6)</f>
        <v>0</v>
      </c>
      <c r="I6" s="404" t="s">
        <v>472</v>
      </c>
      <c r="J6" s="6"/>
    </row>
    <row r="7" spans="1:10" ht="72">
      <c r="A7" s="347" t="s">
        <v>2</v>
      </c>
      <c r="B7" s="354" t="s">
        <v>30</v>
      </c>
      <c r="C7" s="402"/>
      <c r="D7" s="402"/>
      <c r="E7" s="402"/>
      <c r="F7" s="402"/>
      <c r="G7" s="402"/>
      <c r="H7" s="381">
        <f t="shared" ref="H7:H10" si="0">SUM(C7:G7)</f>
        <v>0</v>
      </c>
      <c r="I7" s="357" t="s">
        <v>26</v>
      </c>
      <c r="J7" s="6"/>
    </row>
    <row r="8" spans="1:10" ht="18">
      <c r="A8" s="347" t="s">
        <v>4</v>
      </c>
      <c r="B8" s="347" t="s">
        <v>31</v>
      </c>
      <c r="C8" s="402"/>
      <c r="D8" s="402"/>
      <c r="E8" s="402"/>
      <c r="F8" s="402"/>
      <c r="G8" s="402"/>
      <c r="H8" s="381">
        <f t="shared" si="0"/>
        <v>0</v>
      </c>
      <c r="I8" s="357" t="s">
        <v>27</v>
      </c>
      <c r="J8" s="6"/>
    </row>
    <row r="9" spans="1:10" ht="39" customHeight="1">
      <c r="A9" s="347" t="s">
        <v>6</v>
      </c>
      <c r="B9" s="354" t="s">
        <v>671</v>
      </c>
      <c r="C9" s="402"/>
      <c r="D9" s="402"/>
      <c r="E9" s="402"/>
      <c r="F9" s="402"/>
      <c r="G9" s="402"/>
      <c r="H9" s="381">
        <f t="shared" si="0"/>
        <v>0</v>
      </c>
      <c r="I9" s="357" t="s">
        <v>28</v>
      </c>
      <c r="J9" s="121"/>
    </row>
    <row r="10" spans="1:10" ht="18">
      <c r="A10" s="347" t="s">
        <v>651</v>
      </c>
      <c r="B10" s="409" t="s">
        <v>667</v>
      </c>
      <c r="C10" s="402"/>
      <c r="D10" s="402"/>
      <c r="E10" s="402"/>
      <c r="F10" s="402"/>
      <c r="G10" s="402"/>
      <c r="H10" s="381">
        <f t="shared" si="0"/>
        <v>0</v>
      </c>
      <c r="I10" s="404" t="s">
        <v>472</v>
      </c>
      <c r="J10" s="121"/>
    </row>
    <row r="11" spans="1:10" ht="30" customHeight="1">
      <c r="A11" s="353"/>
      <c r="B11" s="382"/>
      <c r="C11" s="383"/>
      <c r="D11" s="383"/>
      <c r="E11" s="383"/>
      <c r="F11" s="383"/>
      <c r="G11" s="383"/>
      <c r="H11" s="383"/>
      <c r="I11" s="384"/>
      <c r="J11" s="121"/>
    </row>
    <row r="12" spans="1:10" ht="30" customHeight="1">
      <c r="A12" s="365" t="s">
        <v>164</v>
      </c>
      <c r="B12" s="366"/>
      <c r="C12" s="385"/>
      <c r="D12" s="385"/>
      <c r="E12" s="385"/>
      <c r="F12" s="385"/>
      <c r="G12" s="385"/>
      <c r="H12" s="385"/>
      <c r="I12" s="384"/>
      <c r="J12" s="121"/>
    </row>
    <row r="13" spans="1:10" ht="30" customHeight="1">
      <c r="A13" s="359" t="s">
        <v>0</v>
      </c>
      <c r="B13" s="359" t="s">
        <v>33</v>
      </c>
      <c r="C13" s="402"/>
      <c r="D13" s="402"/>
      <c r="E13" s="402"/>
      <c r="F13" s="402"/>
      <c r="G13" s="402"/>
      <c r="H13" s="381">
        <f t="shared" ref="H13:H17" si="1">SUM(C13:G13)</f>
        <v>0</v>
      </c>
      <c r="I13" s="404" t="s">
        <v>472</v>
      </c>
      <c r="J13" s="121"/>
    </row>
    <row r="14" spans="1:10" ht="30" customHeight="1">
      <c r="A14" s="359" t="s">
        <v>2</v>
      </c>
      <c r="B14" s="359" t="s">
        <v>34</v>
      </c>
      <c r="C14" s="402"/>
      <c r="D14" s="402"/>
      <c r="E14" s="402"/>
      <c r="F14" s="402"/>
      <c r="G14" s="402"/>
      <c r="H14" s="381">
        <f t="shared" si="1"/>
        <v>0</v>
      </c>
      <c r="I14" s="357" t="s">
        <v>26</v>
      </c>
    </row>
    <row r="15" spans="1:10" ht="30" customHeight="1">
      <c r="A15" s="359" t="s">
        <v>3</v>
      </c>
      <c r="B15" s="359" t="s">
        <v>31</v>
      </c>
      <c r="C15" s="402"/>
      <c r="D15" s="402"/>
      <c r="E15" s="402"/>
      <c r="F15" s="402"/>
      <c r="G15" s="402"/>
      <c r="H15" s="381">
        <f t="shared" si="1"/>
        <v>0</v>
      </c>
      <c r="I15" s="357" t="s">
        <v>27</v>
      </c>
    </row>
    <row r="16" spans="1:10" ht="30" customHeight="1">
      <c r="A16" s="359" t="s">
        <v>5</v>
      </c>
      <c r="B16" s="359" t="s">
        <v>35</v>
      </c>
      <c r="C16" s="402"/>
      <c r="D16" s="402"/>
      <c r="E16" s="402"/>
      <c r="F16" s="402"/>
      <c r="G16" s="402"/>
      <c r="H16" s="381">
        <f t="shared" si="1"/>
        <v>0</v>
      </c>
      <c r="I16" s="357" t="s">
        <v>28</v>
      </c>
      <c r="J16" s="6"/>
    </row>
    <row r="17" spans="1:10" ht="18">
      <c r="A17" s="359" t="s">
        <v>651</v>
      </c>
      <c r="B17" s="409" t="s">
        <v>667</v>
      </c>
      <c r="C17" s="402"/>
      <c r="D17" s="402"/>
      <c r="E17" s="402"/>
      <c r="F17" s="402"/>
      <c r="G17" s="402"/>
      <c r="H17" s="381">
        <f t="shared" si="1"/>
        <v>0</v>
      </c>
      <c r="I17" s="404" t="s">
        <v>472</v>
      </c>
      <c r="J17" s="121"/>
    </row>
    <row r="18" spans="1:10" ht="30" customHeight="1">
      <c r="A18" s="353"/>
      <c r="B18" s="386"/>
      <c r="C18" s="385"/>
      <c r="D18" s="385"/>
      <c r="E18" s="385"/>
      <c r="F18" s="385"/>
      <c r="G18" s="385"/>
      <c r="H18" s="385"/>
      <c r="I18" s="352"/>
      <c r="J18" s="6"/>
    </row>
    <row r="19" spans="1:10" ht="30" customHeight="1">
      <c r="A19" s="365" t="s">
        <v>165</v>
      </c>
      <c r="B19" s="382"/>
      <c r="C19" s="383"/>
      <c r="D19" s="383"/>
      <c r="E19" s="383"/>
      <c r="F19" s="383"/>
      <c r="G19" s="383"/>
      <c r="H19" s="383"/>
      <c r="I19" s="384"/>
      <c r="J19" s="6"/>
    </row>
    <row r="20" spans="1:10" ht="30" customHeight="1">
      <c r="A20" s="359" t="s">
        <v>0</v>
      </c>
      <c r="B20" s="359" t="s">
        <v>36</v>
      </c>
      <c r="C20" s="402"/>
      <c r="D20" s="402"/>
      <c r="E20" s="402"/>
      <c r="F20" s="402"/>
      <c r="G20" s="402"/>
      <c r="H20" s="381">
        <f t="shared" ref="H20:H26" si="2">SUM(C20:G20)</f>
        <v>0</v>
      </c>
      <c r="I20" s="404" t="s">
        <v>472</v>
      </c>
    </row>
    <row r="21" spans="1:10" ht="30" customHeight="1">
      <c r="A21" s="359" t="s">
        <v>2</v>
      </c>
      <c r="B21" s="359" t="s">
        <v>37</v>
      </c>
      <c r="C21" s="402"/>
      <c r="D21" s="402"/>
      <c r="E21" s="402"/>
      <c r="F21" s="402"/>
      <c r="G21" s="402"/>
      <c r="H21" s="381">
        <f t="shared" si="2"/>
        <v>0</v>
      </c>
      <c r="I21" s="404" t="s">
        <v>472</v>
      </c>
    </row>
    <row r="22" spans="1:10" ht="30" customHeight="1">
      <c r="A22" s="359" t="s">
        <v>4</v>
      </c>
      <c r="B22" s="359" t="s">
        <v>38</v>
      </c>
      <c r="C22" s="402"/>
      <c r="D22" s="402"/>
      <c r="E22" s="402"/>
      <c r="F22" s="402"/>
      <c r="G22" s="402"/>
      <c r="H22" s="381">
        <f t="shared" si="2"/>
        <v>0</v>
      </c>
      <c r="I22" s="404" t="s">
        <v>472</v>
      </c>
    </row>
    <row r="23" spans="1:10" ht="30" customHeight="1">
      <c r="A23" s="359" t="s">
        <v>6</v>
      </c>
      <c r="B23" s="359" t="s">
        <v>702</v>
      </c>
      <c r="C23" s="402"/>
      <c r="D23" s="402"/>
      <c r="E23" s="402"/>
      <c r="F23" s="402"/>
      <c r="G23" s="402"/>
      <c r="H23" s="381">
        <f t="shared" si="2"/>
        <v>0</v>
      </c>
      <c r="I23" s="404" t="s">
        <v>472</v>
      </c>
    </row>
    <row r="24" spans="1:10" ht="30" customHeight="1">
      <c r="A24" s="359" t="s">
        <v>8</v>
      </c>
      <c r="B24" s="359" t="s">
        <v>40</v>
      </c>
      <c r="C24" s="402"/>
      <c r="D24" s="402"/>
      <c r="E24" s="402"/>
      <c r="F24" s="402"/>
      <c r="G24" s="402"/>
      <c r="H24" s="381">
        <f t="shared" si="2"/>
        <v>0</v>
      </c>
      <c r="I24" s="357" t="s">
        <v>16</v>
      </c>
    </row>
    <row r="25" spans="1:10" ht="30" customHeight="1">
      <c r="A25" s="359" t="s">
        <v>7</v>
      </c>
      <c r="B25" s="359" t="s">
        <v>41</v>
      </c>
      <c r="C25" s="402"/>
      <c r="D25" s="402"/>
      <c r="E25" s="402"/>
      <c r="F25" s="402"/>
      <c r="G25" s="402"/>
      <c r="H25" s="381">
        <f t="shared" si="2"/>
        <v>0</v>
      </c>
      <c r="I25" s="404" t="s">
        <v>472</v>
      </c>
    </row>
    <row r="26" spans="1:10" ht="18">
      <c r="A26" s="359" t="s">
        <v>651</v>
      </c>
      <c r="B26" s="409" t="s">
        <v>667</v>
      </c>
      <c r="C26" s="402"/>
      <c r="D26" s="402"/>
      <c r="E26" s="402"/>
      <c r="F26" s="402"/>
      <c r="G26" s="402"/>
      <c r="H26" s="381">
        <f t="shared" si="2"/>
        <v>0</v>
      </c>
      <c r="I26" s="404" t="s">
        <v>472</v>
      </c>
      <c r="J26" s="121"/>
    </row>
    <row r="27" spans="1:10" ht="30" customHeight="1">
      <c r="A27" s="353"/>
      <c r="B27" s="382"/>
      <c r="C27" s="383"/>
      <c r="D27" s="383"/>
      <c r="E27" s="383"/>
      <c r="F27" s="383"/>
      <c r="G27" s="383"/>
      <c r="H27" s="383"/>
      <c r="I27" s="384"/>
    </row>
    <row r="28" spans="1:10" ht="30" customHeight="1">
      <c r="A28" s="365" t="s">
        <v>166</v>
      </c>
      <c r="B28" s="51"/>
      <c r="C28" s="385"/>
      <c r="D28" s="385"/>
      <c r="E28" s="385"/>
      <c r="F28" s="385"/>
      <c r="G28" s="385"/>
      <c r="H28" s="385"/>
      <c r="I28" s="384"/>
    </row>
    <row r="29" spans="1:10" ht="30" customHeight="1">
      <c r="A29" s="359" t="s">
        <v>0</v>
      </c>
      <c r="B29" s="359" t="s">
        <v>42</v>
      </c>
      <c r="C29" s="402"/>
      <c r="D29" s="402"/>
      <c r="E29" s="402"/>
      <c r="F29" s="402"/>
      <c r="G29" s="402"/>
      <c r="H29" s="381">
        <f t="shared" ref="H29:H31" si="3">SUM(C29:G29)</f>
        <v>0</v>
      </c>
      <c r="I29" s="404" t="s">
        <v>472</v>
      </c>
    </row>
    <row r="30" spans="1:10" ht="30" customHeight="1">
      <c r="A30" s="359" t="s">
        <v>1</v>
      </c>
      <c r="B30" s="359" t="s">
        <v>43</v>
      </c>
      <c r="C30" s="402"/>
      <c r="D30" s="402"/>
      <c r="E30" s="402"/>
      <c r="F30" s="402"/>
      <c r="G30" s="402"/>
      <c r="H30" s="381">
        <f t="shared" si="3"/>
        <v>0</v>
      </c>
      <c r="I30" s="357" t="s">
        <v>78</v>
      </c>
    </row>
    <row r="31" spans="1:10" ht="18">
      <c r="A31" s="359" t="s">
        <v>651</v>
      </c>
      <c r="B31" s="409" t="s">
        <v>667</v>
      </c>
      <c r="C31" s="402"/>
      <c r="D31" s="402"/>
      <c r="E31" s="402"/>
      <c r="F31" s="402"/>
      <c r="G31" s="402"/>
      <c r="H31" s="381">
        <f t="shared" si="3"/>
        <v>0</v>
      </c>
      <c r="I31" s="404" t="s">
        <v>472</v>
      </c>
      <c r="J31" s="121"/>
    </row>
    <row r="32" spans="1:10" ht="30" customHeight="1">
      <c r="A32" s="353"/>
      <c r="B32" s="382"/>
      <c r="C32" s="383"/>
      <c r="D32" s="383"/>
      <c r="E32" s="383"/>
      <c r="F32" s="383"/>
      <c r="G32" s="383"/>
      <c r="H32" s="387"/>
      <c r="I32" s="348"/>
    </row>
    <row r="33" spans="1:10" ht="30" customHeight="1">
      <c r="A33" s="36" t="s">
        <v>167</v>
      </c>
      <c r="B33" s="51"/>
      <c r="C33" s="385"/>
      <c r="D33" s="385"/>
      <c r="E33" s="385"/>
      <c r="F33" s="385"/>
      <c r="G33" s="385"/>
      <c r="H33" s="329"/>
      <c r="I33" s="348"/>
    </row>
    <row r="34" spans="1:10" ht="30" customHeight="1">
      <c r="A34" s="359" t="s">
        <v>364</v>
      </c>
      <c r="B34" s="359" t="s">
        <v>44</v>
      </c>
      <c r="C34" s="402"/>
      <c r="D34" s="402"/>
      <c r="E34" s="402"/>
      <c r="F34" s="402"/>
      <c r="G34" s="402"/>
      <c r="H34" s="381">
        <f t="shared" ref="H34:H37" si="4">SUM(C34:G34)</f>
        <v>0</v>
      </c>
      <c r="I34" s="404" t="s">
        <v>472</v>
      </c>
    </row>
    <row r="35" spans="1:10" ht="30" customHeight="1">
      <c r="A35" s="359" t="s">
        <v>2</v>
      </c>
      <c r="B35" s="363" t="s">
        <v>363</v>
      </c>
      <c r="C35" s="402"/>
      <c r="D35" s="402"/>
      <c r="E35" s="402"/>
      <c r="F35" s="402"/>
      <c r="G35" s="402"/>
      <c r="H35" s="381">
        <f t="shared" si="4"/>
        <v>0</v>
      </c>
      <c r="I35" s="404" t="s">
        <v>472</v>
      </c>
    </row>
    <row r="36" spans="1:10" ht="30" customHeight="1">
      <c r="A36" s="359" t="s">
        <v>4</v>
      </c>
      <c r="B36" s="359" t="s">
        <v>45</v>
      </c>
      <c r="C36" s="402"/>
      <c r="D36" s="402"/>
      <c r="E36" s="402"/>
      <c r="F36" s="402"/>
      <c r="G36" s="402"/>
      <c r="H36" s="381">
        <f t="shared" si="4"/>
        <v>0</v>
      </c>
      <c r="I36" s="357" t="s">
        <v>19</v>
      </c>
    </row>
    <row r="37" spans="1:10" ht="18">
      <c r="A37" s="347" t="s">
        <v>651</v>
      </c>
      <c r="B37" s="409" t="s">
        <v>667</v>
      </c>
      <c r="C37" s="402"/>
      <c r="D37" s="402"/>
      <c r="E37" s="402"/>
      <c r="F37" s="402"/>
      <c r="G37" s="402"/>
      <c r="H37" s="381">
        <f t="shared" si="4"/>
        <v>0</v>
      </c>
      <c r="I37" s="404" t="s">
        <v>472</v>
      </c>
      <c r="J37" s="121"/>
    </row>
    <row r="38" spans="1:10" ht="18">
      <c r="A38" s="353"/>
      <c r="B38" s="328"/>
      <c r="C38" s="396"/>
      <c r="D38" s="396"/>
      <c r="E38" s="396"/>
      <c r="F38" s="396"/>
      <c r="G38" s="396"/>
      <c r="H38" s="387"/>
      <c r="I38" s="348"/>
      <c r="J38" s="121"/>
    </row>
    <row r="39" spans="1:10" ht="30" customHeight="1">
      <c r="A39" s="45" t="s">
        <v>709</v>
      </c>
      <c r="B39" s="388"/>
      <c r="C39" s="385"/>
      <c r="D39" s="385"/>
      <c r="E39" s="385"/>
      <c r="F39" s="385"/>
      <c r="G39" s="385"/>
      <c r="H39" s="385"/>
      <c r="I39" s="385"/>
    </row>
    <row r="40" spans="1:10" ht="18">
      <c r="A40" s="267" t="s">
        <v>672</v>
      </c>
      <c r="B40" s="382"/>
      <c r="C40" s="383"/>
      <c r="D40" s="383"/>
      <c r="E40" s="383"/>
      <c r="F40" s="383"/>
      <c r="G40" s="383"/>
      <c r="H40" s="383"/>
      <c r="I40" s="384"/>
    </row>
    <row r="41" spans="1:10" ht="18">
      <c r="A41" s="51"/>
      <c r="B41" s="382"/>
      <c r="C41" s="484" t="s">
        <v>357</v>
      </c>
      <c r="D41" s="484"/>
      <c r="E41" s="484"/>
      <c r="F41" s="484"/>
      <c r="G41" s="484"/>
      <c r="H41" s="389"/>
      <c r="I41" s="345"/>
    </row>
    <row r="42" spans="1:10" ht="18.75">
      <c r="A42" s="51"/>
      <c r="B42" s="382"/>
      <c r="C42" s="480" t="s">
        <v>392</v>
      </c>
      <c r="D42" s="480" t="s">
        <v>393</v>
      </c>
      <c r="E42" s="480" t="s">
        <v>394</v>
      </c>
      <c r="F42" s="485" t="s">
        <v>547</v>
      </c>
      <c r="G42" s="486"/>
      <c r="H42" s="480" t="s">
        <v>593</v>
      </c>
      <c r="I42" s="480" t="s">
        <v>712</v>
      </c>
    </row>
    <row r="43" spans="1:10" ht="56.1" customHeight="1">
      <c r="A43" s="365" t="s">
        <v>164</v>
      </c>
      <c r="B43" s="366"/>
      <c r="C43" s="481"/>
      <c r="D43" s="481"/>
      <c r="E43" s="481"/>
      <c r="F43" s="390" t="s">
        <v>395</v>
      </c>
      <c r="G43" s="391" t="s">
        <v>396</v>
      </c>
      <c r="H43" s="481"/>
      <c r="I43" s="481"/>
    </row>
    <row r="44" spans="1:10" ht="18">
      <c r="A44" s="359" t="s">
        <v>0</v>
      </c>
      <c r="B44" s="363" t="s">
        <v>33</v>
      </c>
      <c r="C44" s="402"/>
      <c r="D44" s="402"/>
      <c r="E44" s="402"/>
      <c r="F44" s="402"/>
      <c r="G44" s="402"/>
      <c r="H44" s="381">
        <f t="shared" ref="H44:H48" si="5">SUM(C44:G44)</f>
        <v>0</v>
      </c>
      <c r="I44" s="404" t="s">
        <v>472</v>
      </c>
    </row>
    <row r="45" spans="1:10" ht="36">
      <c r="A45" s="359" t="s">
        <v>2</v>
      </c>
      <c r="B45" s="363" t="s">
        <v>367</v>
      </c>
      <c r="C45" s="402"/>
      <c r="D45" s="402"/>
      <c r="E45" s="402"/>
      <c r="F45" s="402"/>
      <c r="G45" s="402"/>
      <c r="H45" s="381">
        <f t="shared" si="5"/>
        <v>0</v>
      </c>
      <c r="I45" s="357" t="s">
        <v>27</v>
      </c>
    </row>
    <row r="46" spans="1:10" ht="36">
      <c r="A46" s="359" t="s">
        <v>3</v>
      </c>
      <c r="B46" s="363" t="s">
        <v>46</v>
      </c>
      <c r="C46" s="402"/>
      <c r="D46" s="402"/>
      <c r="E46" s="402"/>
      <c r="F46" s="402"/>
      <c r="G46" s="402"/>
      <c r="H46" s="381">
        <f t="shared" si="5"/>
        <v>0</v>
      </c>
      <c r="I46" s="357" t="s">
        <v>26</v>
      </c>
    </row>
    <row r="47" spans="1:10" ht="36">
      <c r="A47" s="359" t="s">
        <v>5</v>
      </c>
      <c r="B47" s="363" t="s">
        <v>47</v>
      </c>
      <c r="C47" s="402"/>
      <c r="D47" s="402"/>
      <c r="E47" s="402"/>
      <c r="F47" s="402"/>
      <c r="G47" s="402"/>
      <c r="H47" s="381">
        <f t="shared" si="5"/>
        <v>0</v>
      </c>
      <c r="I47" s="357" t="s">
        <v>28</v>
      </c>
    </row>
    <row r="48" spans="1:10" ht="18">
      <c r="A48" s="347" t="s">
        <v>651</v>
      </c>
      <c r="B48" s="408" t="s">
        <v>667</v>
      </c>
      <c r="C48" s="402"/>
      <c r="D48" s="402"/>
      <c r="E48" s="402"/>
      <c r="F48" s="402"/>
      <c r="G48" s="402"/>
      <c r="H48" s="381">
        <f t="shared" si="5"/>
        <v>0</v>
      </c>
      <c r="I48" s="404" t="s">
        <v>472</v>
      </c>
      <c r="J48" s="121"/>
    </row>
    <row r="49" spans="1:10" ht="18">
      <c r="A49" s="51"/>
      <c r="B49" s="382"/>
      <c r="C49" s="383"/>
      <c r="D49" s="383"/>
      <c r="E49" s="383"/>
      <c r="F49" s="383"/>
      <c r="G49" s="383"/>
      <c r="H49" s="383"/>
      <c r="I49" s="384"/>
    </row>
    <row r="50" spans="1:10" ht="18">
      <c r="A50" s="365" t="s">
        <v>165</v>
      </c>
      <c r="B50" s="382"/>
      <c r="C50" s="383"/>
      <c r="D50" s="383"/>
      <c r="E50" s="383"/>
      <c r="F50" s="383"/>
      <c r="G50" s="383"/>
      <c r="H50" s="383"/>
      <c r="I50" s="384"/>
    </row>
    <row r="51" spans="1:10" ht="18">
      <c r="A51" s="347" t="s">
        <v>0</v>
      </c>
      <c r="B51" s="354" t="s">
        <v>48</v>
      </c>
      <c r="C51" s="402"/>
      <c r="D51" s="402"/>
      <c r="E51" s="402"/>
      <c r="F51" s="402"/>
      <c r="G51" s="402"/>
      <c r="H51" s="381">
        <f t="shared" ref="H51:H59" si="6">SUM(C51:G51)</f>
        <v>0</v>
      </c>
      <c r="I51" s="404" t="s">
        <v>472</v>
      </c>
    </row>
    <row r="52" spans="1:10" ht="18">
      <c r="A52" s="347" t="s">
        <v>2</v>
      </c>
      <c r="B52" s="354" t="s">
        <v>49</v>
      </c>
      <c r="C52" s="402"/>
      <c r="D52" s="402"/>
      <c r="E52" s="402"/>
      <c r="F52" s="402"/>
      <c r="G52" s="402"/>
      <c r="H52" s="381">
        <f t="shared" si="6"/>
        <v>0</v>
      </c>
      <c r="I52" s="404" t="s">
        <v>716</v>
      </c>
    </row>
    <row r="53" spans="1:10" ht="18">
      <c r="A53" s="347" t="s">
        <v>4</v>
      </c>
      <c r="B53" s="354" t="s">
        <v>368</v>
      </c>
      <c r="C53" s="402"/>
      <c r="D53" s="402"/>
      <c r="E53" s="402"/>
      <c r="F53" s="402"/>
      <c r="G53" s="402"/>
      <c r="H53" s="381">
        <f t="shared" si="6"/>
        <v>0</v>
      </c>
      <c r="I53" s="404" t="s">
        <v>472</v>
      </c>
    </row>
    <row r="54" spans="1:10" ht="18">
      <c r="A54" s="347" t="s">
        <v>6</v>
      </c>
      <c r="B54" s="354" t="s">
        <v>37</v>
      </c>
      <c r="C54" s="402"/>
      <c r="D54" s="402"/>
      <c r="E54" s="402"/>
      <c r="F54" s="402"/>
      <c r="G54" s="402"/>
      <c r="H54" s="381">
        <f t="shared" si="6"/>
        <v>0</v>
      </c>
      <c r="I54" s="404" t="s">
        <v>472</v>
      </c>
    </row>
    <row r="55" spans="1:10" ht="18">
      <c r="A55" s="347" t="s">
        <v>8</v>
      </c>
      <c r="B55" s="354" t="s">
        <v>38</v>
      </c>
      <c r="C55" s="402"/>
      <c r="D55" s="402"/>
      <c r="E55" s="402"/>
      <c r="F55" s="402"/>
      <c r="G55" s="402"/>
      <c r="H55" s="381">
        <f t="shared" si="6"/>
        <v>0</v>
      </c>
      <c r="I55" s="404" t="s">
        <v>472</v>
      </c>
    </row>
    <row r="56" spans="1:10" ht="18">
      <c r="A56" s="347" t="s">
        <v>9</v>
      </c>
      <c r="B56" s="354" t="s">
        <v>702</v>
      </c>
      <c r="C56" s="402"/>
      <c r="D56" s="402"/>
      <c r="E56" s="402"/>
      <c r="F56" s="402"/>
      <c r="G56" s="402"/>
      <c r="H56" s="381">
        <f t="shared" si="6"/>
        <v>0</v>
      </c>
      <c r="I56" s="404" t="s">
        <v>472</v>
      </c>
    </row>
    <row r="57" spans="1:10" ht="18">
      <c r="A57" s="347" t="s">
        <v>10</v>
      </c>
      <c r="B57" s="354" t="s">
        <v>668</v>
      </c>
      <c r="C57" s="402"/>
      <c r="D57" s="402"/>
      <c r="E57" s="402"/>
      <c r="F57" s="402"/>
      <c r="G57" s="402"/>
      <c r="H57" s="381">
        <f t="shared" si="6"/>
        <v>0</v>
      </c>
      <c r="I57" s="357" t="s">
        <v>16</v>
      </c>
    </row>
    <row r="58" spans="1:10" ht="18">
      <c r="A58" s="347" t="s">
        <v>369</v>
      </c>
      <c r="B58" s="354" t="s">
        <v>50</v>
      </c>
      <c r="C58" s="402"/>
      <c r="D58" s="402"/>
      <c r="E58" s="402"/>
      <c r="F58" s="402"/>
      <c r="G58" s="402"/>
      <c r="H58" s="381">
        <f t="shared" si="6"/>
        <v>0</v>
      </c>
      <c r="I58" s="357" t="s">
        <v>85</v>
      </c>
    </row>
    <row r="59" spans="1:10" ht="18">
      <c r="A59" s="347" t="s">
        <v>651</v>
      </c>
      <c r="B59" s="408" t="s">
        <v>667</v>
      </c>
      <c r="C59" s="402"/>
      <c r="D59" s="402"/>
      <c r="E59" s="402"/>
      <c r="F59" s="402"/>
      <c r="G59" s="402"/>
      <c r="H59" s="381">
        <f t="shared" si="6"/>
        <v>0</v>
      </c>
      <c r="I59" s="404" t="s">
        <v>472</v>
      </c>
      <c r="J59" s="121"/>
    </row>
    <row r="60" spans="1:10" ht="18">
      <c r="A60" s="353"/>
      <c r="B60" s="382"/>
      <c r="C60" s="383"/>
      <c r="D60" s="383"/>
      <c r="E60" s="383"/>
      <c r="F60" s="383"/>
      <c r="G60" s="383"/>
      <c r="H60" s="387"/>
      <c r="I60" s="348"/>
    </row>
    <row r="61" spans="1:10" ht="18">
      <c r="A61" s="36" t="s">
        <v>166</v>
      </c>
      <c r="B61" s="382"/>
      <c r="C61" s="383"/>
      <c r="D61" s="383"/>
      <c r="E61" s="383"/>
      <c r="F61" s="383"/>
      <c r="G61" s="383"/>
      <c r="H61" s="387"/>
      <c r="I61" s="348"/>
    </row>
    <row r="62" spans="1:10" ht="18">
      <c r="A62" s="347" t="s">
        <v>0</v>
      </c>
      <c r="B62" s="354" t="s">
        <v>42</v>
      </c>
      <c r="C62" s="402"/>
      <c r="D62" s="402"/>
      <c r="E62" s="402"/>
      <c r="F62" s="402"/>
      <c r="G62" s="402"/>
      <c r="H62" s="381">
        <f t="shared" ref="H62:H66" si="7">SUM(C62:G62)</f>
        <v>0</v>
      </c>
      <c r="I62" s="404" t="s">
        <v>472</v>
      </c>
    </row>
    <row r="63" spans="1:10" ht="18">
      <c r="A63" s="347" t="s">
        <v>1</v>
      </c>
      <c r="B63" s="354" t="s">
        <v>43</v>
      </c>
      <c r="C63" s="402"/>
      <c r="D63" s="402"/>
      <c r="E63" s="402"/>
      <c r="F63" s="402"/>
      <c r="G63" s="402"/>
      <c r="H63" s="381">
        <f t="shared" si="7"/>
        <v>0</v>
      </c>
      <c r="I63" s="357" t="s">
        <v>78</v>
      </c>
    </row>
    <row r="64" spans="1:10" ht="18">
      <c r="A64" s="347" t="s">
        <v>3</v>
      </c>
      <c r="B64" s="354" t="s">
        <v>51</v>
      </c>
      <c r="C64" s="402"/>
      <c r="D64" s="402"/>
      <c r="E64" s="402"/>
      <c r="F64" s="402"/>
      <c r="G64" s="402"/>
      <c r="H64" s="381">
        <f t="shared" si="7"/>
        <v>0</v>
      </c>
      <c r="I64" s="357" t="s">
        <v>78</v>
      </c>
    </row>
    <row r="65" spans="1:11" ht="18">
      <c r="A65" s="347" t="s">
        <v>5</v>
      </c>
      <c r="B65" s="354" t="s">
        <v>52</v>
      </c>
      <c r="C65" s="402"/>
      <c r="D65" s="402"/>
      <c r="E65" s="402"/>
      <c r="F65" s="402"/>
      <c r="G65" s="402"/>
      <c r="H65" s="381">
        <f t="shared" si="7"/>
        <v>0</v>
      </c>
      <c r="I65" s="357" t="s">
        <v>80</v>
      </c>
    </row>
    <row r="66" spans="1:11" ht="18">
      <c r="A66" s="347" t="s">
        <v>651</v>
      </c>
      <c r="B66" s="408" t="s">
        <v>667</v>
      </c>
      <c r="C66" s="402"/>
      <c r="D66" s="402"/>
      <c r="E66" s="402"/>
      <c r="F66" s="402"/>
      <c r="G66" s="402"/>
      <c r="H66" s="381">
        <f t="shared" si="7"/>
        <v>0</v>
      </c>
      <c r="I66" s="404" t="s">
        <v>472</v>
      </c>
      <c r="J66" s="121"/>
    </row>
    <row r="67" spans="1:11" ht="18">
      <c r="A67" s="353"/>
      <c r="B67" s="382"/>
      <c r="C67" s="383"/>
      <c r="D67" s="383"/>
      <c r="E67" s="383"/>
      <c r="F67" s="383"/>
      <c r="G67" s="383"/>
      <c r="H67" s="387"/>
      <c r="I67" s="348"/>
    </row>
    <row r="68" spans="1:11" ht="18">
      <c r="A68" s="36" t="s">
        <v>167</v>
      </c>
      <c r="B68" s="382"/>
      <c r="C68" s="383"/>
      <c r="D68" s="383"/>
      <c r="E68" s="383"/>
      <c r="F68" s="383"/>
      <c r="G68" s="383"/>
      <c r="H68" s="387"/>
      <c r="I68" s="348"/>
    </row>
    <row r="69" spans="1:11" ht="18">
      <c r="A69" s="359" t="s">
        <v>364</v>
      </c>
      <c r="B69" s="363" t="s">
        <v>53</v>
      </c>
      <c r="C69" s="402"/>
      <c r="D69" s="402"/>
      <c r="E69" s="402"/>
      <c r="F69" s="402"/>
      <c r="G69" s="402"/>
      <c r="H69" s="381">
        <f t="shared" ref="H69:H72" si="8">SUM(C69:G69)</f>
        <v>0</v>
      </c>
      <c r="I69" s="404" t="s">
        <v>472</v>
      </c>
    </row>
    <row r="70" spans="1:11" ht="18">
      <c r="A70" s="359" t="s">
        <v>2</v>
      </c>
      <c r="B70" s="363" t="s">
        <v>363</v>
      </c>
      <c r="C70" s="402"/>
      <c r="D70" s="402"/>
      <c r="E70" s="402"/>
      <c r="F70" s="402"/>
      <c r="G70" s="402"/>
      <c r="H70" s="381">
        <f t="shared" si="8"/>
        <v>0</v>
      </c>
      <c r="I70" s="404" t="s">
        <v>472</v>
      </c>
    </row>
    <row r="71" spans="1:11" ht="18">
      <c r="A71" s="359" t="s">
        <v>4</v>
      </c>
      <c r="B71" s="363" t="s">
        <v>45</v>
      </c>
      <c r="C71" s="402"/>
      <c r="D71" s="402"/>
      <c r="E71" s="402"/>
      <c r="F71" s="402"/>
      <c r="G71" s="402"/>
      <c r="H71" s="381">
        <f t="shared" si="8"/>
        <v>0</v>
      </c>
      <c r="I71" s="357" t="s">
        <v>19</v>
      </c>
    </row>
    <row r="72" spans="1:11" ht="18">
      <c r="A72" s="347" t="s">
        <v>651</v>
      </c>
      <c r="B72" s="408" t="s">
        <v>667</v>
      </c>
      <c r="C72" s="402"/>
      <c r="D72" s="402"/>
      <c r="E72" s="402"/>
      <c r="F72" s="402"/>
      <c r="G72" s="402"/>
      <c r="H72" s="381">
        <f t="shared" si="8"/>
        <v>0</v>
      </c>
      <c r="I72" s="404" t="s">
        <v>472</v>
      </c>
      <c r="J72" s="121"/>
    </row>
    <row r="73" spans="1:11" ht="18">
      <c r="A73" s="353"/>
      <c r="B73" s="382"/>
      <c r="C73" s="385"/>
      <c r="D73" s="385"/>
      <c r="E73" s="385"/>
      <c r="F73" s="385"/>
      <c r="G73" s="385"/>
      <c r="H73" s="329"/>
      <c r="I73" s="348"/>
    </row>
    <row r="74" spans="1:11" ht="18">
      <c r="A74" s="36" t="s">
        <v>669</v>
      </c>
      <c r="B74" s="328"/>
      <c r="C74" s="385"/>
      <c r="D74" s="385"/>
      <c r="E74" s="385"/>
      <c r="F74" s="385"/>
      <c r="G74" s="385"/>
      <c r="H74" s="329"/>
      <c r="I74" s="348"/>
    </row>
    <row r="75" spans="1:11" ht="18">
      <c r="A75" s="347" t="s">
        <v>0</v>
      </c>
      <c r="B75" s="354" t="s">
        <v>54</v>
      </c>
      <c r="C75" s="402"/>
      <c r="D75" s="402"/>
      <c r="E75" s="402"/>
      <c r="F75" s="402"/>
      <c r="G75" s="402"/>
      <c r="H75" s="381">
        <f t="shared" ref="H75:H79" si="9">SUM(C75:G75)</f>
        <v>0</v>
      </c>
      <c r="I75" s="357" t="s">
        <v>82</v>
      </c>
    </row>
    <row r="76" spans="1:11" ht="18">
      <c r="A76" s="347" t="s">
        <v>1</v>
      </c>
      <c r="B76" s="354" t="s">
        <v>55</v>
      </c>
      <c r="C76" s="402"/>
      <c r="D76" s="402"/>
      <c r="E76" s="402"/>
      <c r="F76" s="402"/>
      <c r="G76" s="402"/>
      <c r="H76" s="381">
        <f t="shared" si="9"/>
        <v>0</v>
      </c>
      <c r="I76" s="357" t="s">
        <v>80</v>
      </c>
    </row>
    <row r="77" spans="1:11" ht="36">
      <c r="A77" s="347" t="s">
        <v>3</v>
      </c>
      <c r="B77" s="354" t="s">
        <v>56</v>
      </c>
      <c r="C77" s="402"/>
      <c r="D77" s="402"/>
      <c r="E77" s="402"/>
      <c r="F77" s="402"/>
      <c r="G77" s="402"/>
      <c r="H77" s="381">
        <f t="shared" si="9"/>
        <v>0</v>
      </c>
      <c r="I77" s="404" t="s">
        <v>472</v>
      </c>
      <c r="K77" s="405"/>
    </row>
    <row r="78" spans="1:11" ht="18">
      <c r="A78" s="347" t="s">
        <v>5</v>
      </c>
      <c r="B78" s="354" t="s">
        <v>57</v>
      </c>
      <c r="C78" s="402"/>
      <c r="D78" s="402"/>
      <c r="E78" s="402"/>
      <c r="F78" s="402"/>
      <c r="G78" s="402"/>
      <c r="H78" s="381">
        <f t="shared" si="9"/>
        <v>0</v>
      </c>
      <c r="I78" s="357" t="s">
        <v>76</v>
      </c>
    </row>
    <row r="79" spans="1:11" ht="18">
      <c r="A79" s="347" t="s">
        <v>651</v>
      </c>
      <c r="B79" s="408" t="s">
        <v>667</v>
      </c>
      <c r="C79" s="402"/>
      <c r="D79" s="402"/>
      <c r="E79" s="402"/>
      <c r="F79" s="402"/>
      <c r="G79" s="402"/>
      <c r="H79" s="381">
        <f t="shared" si="9"/>
        <v>0</v>
      </c>
      <c r="I79" s="404" t="s">
        <v>472</v>
      </c>
      <c r="J79" s="121"/>
    </row>
    <row r="80" spans="1:11" ht="18">
      <c r="A80" s="51"/>
      <c r="B80" s="328"/>
      <c r="C80" s="385"/>
      <c r="D80" s="385"/>
      <c r="E80" s="385"/>
      <c r="F80" s="385"/>
      <c r="G80" s="385"/>
      <c r="H80" s="329"/>
      <c r="I80" s="348"/>
    </row>
    <row r="81" spans="1:10" ht="18">
      <c r="A81" s="51"/>
      <c r="B81" s="328"/>
      <c r="C81" s="385"/>
      <c r="D81" s="385"/>
      <c r="E81" s="385"/>
      <c r="F81" s="385"/>
      <c r="G81" s="385"/>
      <c r="H81" s="329"/>
      <c r="I81" s="348"/>
    </row>
    <row r="82" spans="1:10" ht="18">
      <c r="A82" s="36" t="s">
        <v>171</v>
      </c>
      <c r="B82" s="328"/>
      <c r="C82" s="385"/>
      <c r="D82" s="385"/>
      <c r="E82" s="385"/>
      <c r="F82" s="385"/>
      <c r="G82" s="385"/>
      <c r="H82" s="329"/>
      <c r="I82" s="348"/>
    </row>
    <row r="83" spans="1:10" ht="36">
      <c r="A83" s="347" t="s">
        <v>0</v>
      </c>
      <c r="B83" s="354" t="s">
        <v>58</v>
      </c>
      <c r="C83" s="402"/>
      <c r="D83" s="402"/>
      <c r="E83" s="402"/>
      <c r="F83" s="402"/>
      <c r="G83" s="402"/>
      <c r="H83" s="381">
        <f>SUM(C83:G83)</f>
        <v>0</v>
      </c>
      <c r="I83" s="357" t="s">
        <v>29</v>
      </c>
    </row>
    <row r="84" spans="1:10" ht="18">
      <c r="A84" s="347" t="s">
        <v>1</v>
      </c>
      <c r="B84" s="354" t="s">
        <v>59</v>
      </c>
      <c r="C84" s="402"/>
      <c r="D84" s="402"/>
      <c r="E84" s="402"/>
      <c r="F84" s="402"/>
      <c r="G84" s="402"/>
      <c r="H84" s="381">
        <f t="shared" ref="H84:H85" si="10">SUM(C84:G84)</f>
        <v>0</v>
      </c>
      <c r="I84" s="357" t="s">
        <v>29</v>
      </c>
    </row>
    <row r="85" spans="1:10" ht="18">
      <c r="A85" s="347" t="s">
        <v>3</v>
      </c>
      <c r="B85" s="354" t="s">
        <v>60</v>
      </c>
      <c r="C85" s="402"/>
      <c r="D85" s="402"/>
      <c r="E85" s="402"/>
      <c r="F85" s="402"/>
      <c r="G85" s="402"/>
      <c r="H85" s="381">
        <f t="shared" si="10"/>
        <v>0</v>
      </c>
      <c r="I85" s="357" t="s">
        <v>29</v>
      </c>
    </row>
    <row r="86" spans="1:10" ht="18">
      <c r="A86" s="347" t="s">
        <v>651</v>
      </c>
      <c r="B86" s="408" t="s">
        <v>667</v>
      </c>
      <c r="C86" s="402"/>
      <c r="D86" s="402"/>
      <c r="E86" s="402"/>
      <c r="F86" s="402"/>
      <c r="G86" s="402"/>
      <c r="H86" s="381">
        <f t="shared" ref="H86" si="11">SUM(C86:G86)</f>
        <v>0</v>
      </c>
      <c r="I86" s="404" t="s">
        <v>472</v>
      </c>
      <c r="J86" s="121"/>
    </row>
    <row r="87" spans="1:10" ht="18">
      <c r="A87" s="51"/>
      <c r="B87" s="328"/>
      <c r="C87" s="385"/>
      <c r="D87" s="385"/>
      <c r="E87" s="385"/>
      <c r="F87" s="385"/>
      <c r="G87" s="385"/>
      <c r="H87" s="329"/>
      <c r="I87" s="348"/>
    </row>
    <row r="88" spans="1:10" ht="18">
      <c r="A88" s="36" t="s">
        <v>169</v>
      </c>
      <c r="B88" s="328"/>
      <c r="C88" s="385"/>
      <c r="D88" s="385"/>
      <c r="E88" s="385"/>
      <c r="F88" s="385"/>
      <c r="G88" s="385"/>
      <c r="H88" s="329"/>
      <c r="I88" s="348"/>
    </row>
    <row r="89" spans="1:10" ht="18">
      <c r="A89" s="347" t="s">
        <v>0</v>
      </c>
      <c r="B89" s="354" t="s">
        <v>61</v>
      </c>
      <c r="C89" s="402"/>
      <c r="D89" s="402"/>
      <c r="E89" s="402"/>
      <c r="F89" s="402"/>
      <c r="G89" s="402"/>
      <c r="H89" s="381">
        <f t="shared" ref="H89:H92" si="12">SUM(C89:G89)</f>
        <v>0</v>
      </c>
      <c r="I89" s="357" t="s">
        <v>92</v>
      </c>
    </row>
    <row r="90" spans="1:10" ht="18">
      <c r="A90" s="347" t="s">
        <v>1</v>
      </c>
      <c r="B90" s="354" t="s">
        <v>62</v>
      </c>
      <c r="C90" s="402"/>
      <c r="D90" s="402"/>
      <c r="E90" s="402"/>
      <c r="F90" s="402"/>
      <c r="G90" s="402"/>
      <c r="H90" s="381">
        <f t="shared" si="12"/>
        <v>0</v>
      </c>
      <c r="I90" s="357" t="s">
        <v>92</v>
      </c>
    </row>
    <row r="91" spans="1:10" ht="18">
      <c r="A91" s="347" t="s">
        <v>3</v>
      </c>
      <c r="B91" s="354" t="s">
        <v>63</v>
      </c>
      <c r="C91" s="402"/>
      <c r="D91" s="402"/>
      <c r="E91" s="402"/>
      <c r="F91" s="402"/>
      <c r="G91" s="402"/>
      <c r="H91" s="381">
        <f>SUM(C91:G91)</f>
        <v>0</v>
      </c>
      <c r="I91" s="357" t="s">
        <v>92</v>
      </c>
    </row>
    <row r="92" spans="1:10" ht="18">
      <c r="A92" s="347" t="s">
        <v>5</v>
      </c>
      <c r="B92" s="354" t="s">
        <v>64</v>
      </c>
      <c r="C92" s="402"/>
      <c r="D92" s="402"/>
      <c r="E92" s="402"/>
      <c r="F92" s="402"/>
      <c r="G92" s="402"/>
      <c r="H92" s="381">
        <f t="shared" si="12"/>
        <v>0</v>
      </c>
      <c r="I92" s="357" t="s">
        <v>92</v>
      </c>
    </row>
    <row r="93" spans="1:10" ht="18">
      <c r="A93" s="347" t="s">
        <v>651</v>
      </c>
      <c r="B93" s="408" t="s">
        <v>667</v>
      </c>
      <c r="C93" s="402"/>
      <c r="D93" s="402"/>
      <c r="E93" s="402"/>
      <c r="F93" s="402"/>
      <c r="G93" s="402"/>
      <c r="H93" s="381">
        <f t="shared" ref="H93" si="13">SUM(C93:G93)</f>
        <v>0</v>
      </c>
      <c r="I93" s="404" t="s">
        <v>472</v>
      </c>
      <c r="J93" s="121"/>
    </row>
    <row r="94" spans="1:10" ht="30" customHeight="1">
      <c r="A94" s="353"/>
      <c r="B94" s="392"/>
      <c r="C94" s="385"/>
      <c r="D94" s="385"/>
      <c r="E94" s="385"/>
      <c r="F94" s="385"/>
      <c r="G94" s="385"/>
      <c r="H94" s="385"/>
      <c r="I94" s="384"/>
    </row>
    <row r="95" spans="1:10" ht="30" customHeight="1">
      <c r="A95" s="51"/>
      <c r="B95" s="393"/>
      <c r="C95" s="357" t="s">
        <v>392</v>
      </c>
      <c r="D95" s="357" t="s">
        <v>393</v>
      </c>
      <c r="E95" s="357" t="s">
        <v>394</v>
      </c>
      <c r="F95" s="357" t="s">
        <v>395</v>
      </c>
      <c r="G95" s="357" t="s">
        <v>396</v>
      </c>
      <c r="H95" s="357" t="s">
        <v>453</v>
      </c>
      <c r="I95" s="305"/>
    </row>
    <row r="96" spans="1:10" ht="30" customHeight="1">
      <c r="A96" s="353"/>
      <c r="B96" s="393" t="s">
        <v>694</v>
      </c>
      <c r="C96" s="357">
        <f>SUM(C6:C10,C13:C17,C20:C26,C29:C31,C34:C37,C44:C48,C51:C59,C62:C66,C69:C72,C75:C79,C83:C86,C89:C93)</f>
        <v>0</v>
      </c>
      <c r="D96" s="357">
        <f>SUM(D6:D10,D13:D17,D20:D26,D29:D31,D34:D37,D44:D48,D51:D59,D62:D66,D69:D72,D75:D79,D83:D86,D89:D93)</f>
        <v>0</v>
      </c>
      <c r="E96" s="357">
        <f>SUM(E6:E10,E13:E17,E20:E26,E29:E31,E34:E37,E44:E48,E51:E59,E62:E66,E69:E72,E75:E79,E83:E86,E89:E93)</f>
        <v>0</v>
      </c>
      <c r="F96" s="357">
        <f>SUM(F6:F10,F13:F17,F20:F26,F29:F31,F34:F37,F44:F48,F51:F59,F62:F66,F69:F72,F75:F79,F83:F86,F89:F93)</f>
        <v>0</v>
      </c>
      <c r="G96" s="357">
        <f>SUM(G6:G10,G13:G17,G20:G26,G29:G31,G34:G37,G44:G48,G51:G59,G62:G66,G69:G72,G75:G79,G83:G86,G89:G93)</f>
        <v>0</v>
      </c>
      <c r="H96" s="357">
        <f t="shared" ref="H96" si="14">SUM(H6:H9,H13:H16,H20:H25,H29:H30,H34:H36,H44:H47,H51:H58,H62:H65,H69:H71,H75:H78,H83:H85,H89:H92)</f>
        <v>0</v>
      </c>
      <c r="I96" s="384"/>
    </row>
    <row r="97" spans="1:9" ht="30" customHeight="1">
      <c r="A97" s="353"/>
      <c r="B97" s="51"/>
      <c r="C97" s="51"/>
      <c r="D97" s="51"/>
      <c r="E97" s="51"/>
      <c r="F97" s="51"/>
      <c r="G97" s="51"/>
      <c r="H97" s="348"/>
      <c r="I97" s="384"/>
    </row>
    <row r="98" spans="1:9" ht="20.25">
      <c r="A98" s="45" t="s">
        <v>710</v>
      </c>
      <c r="B98" s="51"/>
      <c r="C98" s="329"/>
      <c r="D98" s="329"/>
      <c r="E98" s="329"/>
      <c r="F98" s="329"/>
      <c r="G98" s="329"/>
      <c r="H98" s="329"/>
      <c r="I98" s="36"/>
    </row>
    <row r="99" spans="1:9" ht="18">
      <c r="A99" s="36"/>
      <c r="B99" s="51"/>
      <c r="C99" s="488" t="s">
        <v>627</v>
      </c>
      <c r="D99" s="488"/>
      <c r="E99" s="488"/>
      <c r="F99" s="488"/>
      <c r="G99" s="488"/>
      <c r="H99" s="488"/>
      <c r="I99" s="36"/>
    </row>
    <row r="100" spans="1:9" ht="18.75">
      <c r="A100" s="267"/>
      <c r="B100" s="51"/>
      <c r="C100" s="394"/>
      <c r="D100" s="389"/>
      <c r="E100" s="389"/>
      <c r="F100" s="489" t="s">
        <v>547</v>
      </c>
      <c r="G100" s="490"/>
      <c r="H100" s="491" t="s">
        <v>620</v>
      </c>
      <c r="I100" s="480" t="s">
        <v>712</v>
      </c>
    </row>
    <row r="101" spans="1:9" ht="69.95" customHeight="1">
      <c r="A101" s="375" t="s">
        <v>624</v>
      </c>
      <c r="B101" s="376"/>
      <c r="C101" s="395" t="s">
        <v>392</v>
      </c>
      <c r="D101" s="350" t="s">
        <v>393</v>
      </c>
      <c r="E101" s="350" t="s">
        <v>394</v>
      </c>
      <c r="F101" s="377" t="s">
        <v>395</v>
      </c>
      <c r="G101" s="378" t="s">
        <v>396</v>
      </c>
      <c r="H101" s="492"/>
      <c r="I101" s="481"/>
    </row>
    <row r="102" spans="1:9" ht="80.099999999999994" customHeight="1">
      <c r="A102" s="482" t="s">
        <v>527</v>
      </c>
      <c r="B102" s="487"/>
      <c r="C102" s="403" t="s">
        <v>472</v>
      </c>
      <c r="D102" s="403" t="s">
        <v>472</v>
      </c>
      <c r="E102" s="403" t="s">
        <v>472</v>
      </c>
      <c r="F102" s="403" t="s">
        <v>472</v>
      </c>
      <c r="G102" s="403" t="s">
        <v>472</v>
      </c>
      <c r="H102" s="381" t="str">
        <f>IF(COUNTIF(C102:G102,"Achieved")&gt;=1, "Achieved", "Not achieved")</f>
        <v>Not achieved</v>
      </c>
      <c r="I102" s="357" t="s">
        <v>625</v>
      </c>
    </row>
    <row r="103" spans="1:9" ht="30" customHeight="1">
      <c r="A103" s="353"/>
      <c r="B103" s="382"/>
      <c r="C103" s="396"/>
      <c r="D103" s="396"/>
      <c r="E103" s="396"/>
      <c r="F103" s="396"/>
      <c r="G103" s="396"/>
      <c r="H103" s="383"/>
      <c r="I103" s="384"/>
    </row>
    <row r="104" spans="1:9" ht="30" customHeight="1">
      <c r="A104" s="365" t="s">
        <v>528</v>
      </c>
      <c r="B104" s="366"/>
      <c r="C104" s="385"/>
      <c r="D104" s="385"/>
      <c r="E104" s="385"/>
      <c r="F104" s="385"/>
      <c r="G104" s="385"/>
      <c r="H104" s="385"/>
      <c r="I104" s="384"/>
    </row>
    <row r="105" spans="1:9" ht="80.099999999999994" customHeight="1">
      <c r="A105" s="482" t="s">
        <v>531</v>
      </c>
      <c r="B105" s="483"/>
      <c r="C105" s="403" t="s">
        <v>472</v>
      </c>
      <c r="D105" s="403" t="s">
        <v>472</v>
      </c>
      <c r="E105" s="403" t="s">
        <v>472</v>
      </c>
      <c r="F105" s="403" t="s">
        <v>472</v>
      </c>
      <c r="G105" s="403" t="s">
        <v>472</v>
      </c>
      <c r="H105" s="381" t="str">
        <f>IF(COUNTIF(C105:G105,"Achieved")&gt;=1, "Achieved", "Not achieved")</f>
        <v>Not achieved</v>
      </c>
      <c r="I105" s="357" t="s">
        <v>540</v>
      </c>
    </row>
    <row r="106" spans="1:9" ht="30" customHeight="1">
      <c r="A106" s="353"/>
      <c r="B106" s="386"/>
      <c r="C106" s="385"/>
      <c r="D106" s="385"/>
      <c r="E106" s="385"/>
      <c r="F106" s="385"/>
      <c r="G106" s="385"/>
      <c r="H106" s="385"/>
      <c r="I106" s="352"/>
    </row>
    <row r="107" spans="1:9" ht="30" customHeight="1">
      <c r="A107" s="365" t="s">
        <v>711</v>
      </c>
      <c r="B107" s="382"/>
      <c r="C107" s="383"/>
      <c r="D107" s="383"/>
      <c r="E107" s="383"/>
      <c r="F107" s="383"/>
      <c r="G107" s="383"/>
      <c r="H107" s="383"/>
      <c r="I107" s="384"/>
    </row>
    <row r="108" spans="1:9" ht="80.099999999999994" customHeight="1">
      <c r="A108" s="482" t="s">
        <v>626</v>
      </c>
      <c r="B108" s="483"/>
      <c r="C108" s="403" t="s">
        <v>472</v>
      </c>
      <c r="D108" s="403" t="s">
        <v>472</v>
      </c>
      <c r="E108" s="403" t="s">
        <v>472</v>
      </c>
      <c r="F108" s="403" t="s">
        <v>472</v>
      </c>
      <c r="G108" s="403" t="s">
        <v>472</v>
      </c>
      <c r="H108" s="381" t="str">
        <f>IF(COUNTIF(C108:G108,"Achieved")&gt;=1, "Achieved", "Not achieved")</f>
        <v>Not achieved</v>
      </c>
      <c r="I108" s="357" t="s">
        <v>543</v>
      </c>
    </row>
    <row r="109" spans="1:9" ht="30" customHeight="1">
      <c r="A109" s="353"/>
      <c r="B109" s="382"/>
      <c r="C109" s="383"/>
      <c r="D109" s="383"/>
      <c r="E109" s="383"/>
      <c r="F109" s="383"/>
      <c r="G109" s="383"/>
      <c r="H109" s="383"/>
      <c r="I109" s="384"/>
    </row>
    <row r="110" spans="1:9" ht="30" customHeight="1">
      <c r="A110" s="365" t="s">
        <v>529</v>
      </c>
      <c r="B110" s="51"/>
      <c r="C110" s="385"/>
      <c r="D110" s="385"/>
      <c r="E110" s="385"/>
      <c r="F110" s="385"/>
      <c r="G110" s="385"/>
      <c r="H110" s="385"/>
      <c r="I110" s="384"/>
    </row>
    <row r="111" spans="1:9" ht="80.099999999999994" customHeight="1">
      <c r="A111" s="482" t="s">
        <v>532</v>
      </c>
      <c r="B111" s="483"/>
      <c r="C111" s="403" t="s">
        <v>472</v>
      </c>
      <c r="D111" s="403" t="s">
        <v>472</v>
      </c>
      <c r="E111" s="403" t="s">
        <v>472</v>
      </c>
      <c r="F111" s="403" t="s">
        <v>472</v>
      </c>
      <c r="G111" s="403" t="s">
        <v>472</v>
      </c>
      <c r="H111" s="381" t="str">
        <f>IF(COUNTIF(C111:G111,"Achieved")&gt;=1, "Achieved", "Not achieved")</f>
        <v>Not achieved</v>
      </c>
      <c r="I111" s="357" t="s">
        <v>650</v>
      </c>
    </row>
    <row r="112" spans="1:9" ht="30" customHeight="1">
      <c r="A112" s="51"/>
      <c r="B112" s="328"/>
      <c r="C112" s="387"/>
      <c r="D112" s="387"/>
      <c r="E112" s="387"/>
      <c r="F112" s="387"/>
      <c r="G112" s="387"/>
      <c r="H112" s="387"/>
      <c r="I112" s="348"/>
    </row>
    <row r="113" spans="1:9" ht="30" customHeight="1">
      <c r="A113" s="36" t="s">
        <v>530</v>
      </c>
      <c r="B113" s="51"/>
      <c r="C113" s="385"/>
      <c r="D113" s="385"/>
      <c r="E113" s="385"/>
      <c r="F113" s="385"/>
      <c r="G113" s="385"/>
      <c r="H113" s="385"/>
      <c r="I113" s="384"/>
    </row>
    <row r="114" spans="1:9" ht="80.099999999999994" customHeight="1">
      <c r="A114" s="482" t="s">
        <v>649</v>
      </c>
      <c r="B114" s="483"/>
      <c r="C114" s="403" t="s">
        <v>472</v>
      </c>
      <c r="D114" s="403" t="s">
        <v>472</v>
      </c>
      <c r="E114" s="403" t="s">
        <v>472</v>
      </c>
      <c r="F114" s="403" t="s">
        <v>472</v>
      </c>
      <c r="G114" s="403" t="s">
        <v>472</v>
      </c>
      <c r="H114" s="381" t="str">
        <f>IF(COUNTIF(C114:G114,"Achieved")&gt;=1, "Achieved", "Not achieved")</f>
        <v>Not achieved</v>
      </c>
      <c r="I114" s="357" t="s">
        <v>543</v>
      </c>
    </row>
    <row r="115" spans="1:9" ht="30" customHeight="1">
      <c r="A115" s="185"/>
      <c r="B115" s="186"/>
      <c r="C115" s="187"/>
      <c r="D115" s="187"/>
      <c r="E115" s="187"/>
      <c r="F115" s="187"/>
      <c r="G115" s="187"/>
      <c r="H115" s="187"/>
      <c r="I115" s="5"/>
    </row>
    <row r="116" spans="1:9" ht="15">
      <c r="A116" s="185"/>
      <c r="B116" s="186"/>
      <c r="C116" s="187"/>
      <c r="D116" s="187"/>
      <c r="E116" s="187"/>
      <c r="F116" s="187"/>
      <c r="G116" s="187"/>
      <c r="H116" s="187"/>
      <c r="I116" s="5"/>
    </row>
    <row r="117" spans="1:9" ht="15">
      <c r="A117" s="308"/>
      <c r="B117" s="186"/>
      <c r="C117" s="187"/>
      <c r="D117" s="187"/>
      <c r="E117" s="187"/>
      <c r="F117" s="187"/>
      <c r="G117" s="187"/>
      <c r="H117" s="187"/>
      <c r="I117" s="5"/>
    </row>
  </sheetData>
  <sheetProtection algorithmName="SHA-512" hashValue="l4Kk8NOLyFYxTnXT9JluwEPtNujWGOWqUeBE84ceBIah0fGg9G+vg/s5VcU4xgwGJUaT6t/oV+gcYKjd6YHwbQ==" saltValue="YZAmsBxh9jyDZ7Jj2jqrMw==" spinCount="100000" sheet="1" objects="1" scenarios="1"/>
  <mergeCells count="23">
    <mergeCell ref="A114:B114"/>
    <mergeCell ref="C3:G3"/>
    <mergeCell ref="F4:G4"/>
    <mergeCell ref="C41:G41"/>
    <mergeCell ref="F42:G42"/>
    <mergeCell ref="D42:D43"/>
    <mergeCell ref="E42:E43"/>
    <mergeCell ref="A102:B102"/>
    <mergeCell ref="A105:B105"/>
    <mergeCell ref="A108:B108"/>
    <mergeCell ref="A111:B111"/>
    <mergeCell ref="C99:H99"/>
    <mergeCell ref="F100:G100"/>
    <mergeCell ref="H100:H101"/>
    <mergeCell ref="I100:I101"/>
    <mergeCell ref="D4:D5"/>
    <mergeCell ref="E4:E5"/>
    <mergeCell ref="C42:C43"/>
    <mergeCell ref="I4:I5"/>
    <mergeCell ref="H4:H5"/>
    <mergeCell ref="H42:H43"/>
    <mergeCell ref="I42:I43"/>
    <mergeCell ref="C4:C5"/>
  </mergeCells>
  <phoneticPr fontId="2" type="noConversion"/>
  <dataValidations count="13">
    <dataValidation type="list" allowBlank="1" showInputMessage="1" showErrorMessage="1" sqref="I77" xr:uid="{00000000-0002-0000-0900-000000000000}">
      <formula1>"Please select,MF2,GRI3"</formula1>
    </dataValidation>
    <dataValidation type="list" allowBlank="1" showInputMessage="1" showErrorMessage="1" sqref="I52 I23 I56" xr:uid="{00000000-0002-0000-0900-000001000000}">
      <formula1>"Please select,AA2,GRI1"</formula1>
    </dataValidation>
    <dataValidation type="list" allowBlank="1" showInputMessage="1" showErrorMessage="1" sqref="I51" xr:uid="{00000000-0002-0000-0900-000002000000}">
      <formula1>"Please select,AA1,GRI2"</formula1>
    </dataValidation>
    <dataValidation type="list" allowBlank="1" showInputMessage="1" showErrorMessage="1" sqref="I35 I70" xr:uid="{00000000-0002-0000-0900-000003000000}">
      <formula1>"Please select,T2,T3"</formula1>
    </dataValidation>
    <dataValidation type="list" allowBlank="1" showInputMessage="1" showErrorMessage="1" sqref="I34 I69" xr:uid="{00000000-0002-0000-0900-000004000000}">
      <formula1>"Please select,T1,T2"</formula1>
    </dataValidation>
    <dataValidation type="list" allowBlank="1" showInputMessage="1" showErrorMessage="1" sqref="I29 I62" xr:uid="{00000000-0002-0000-0900-000005000000}">
      <formula1>"Please select,MF1,MF3"</formula1>
    </dataValidation>
    <dataValidation type="list" allowBlank="1" showInputMessage="1" showErrorMessage="1" sqref="I25" xr:uid="{00000000-0002-0000-0900-000006000000}">
      <formula1>"Please select,GRI1,GRI2"</formula1>
    </dataValidation>
    <dataValidation type="list" allowBlank="1" showInputMessage="1" showErrorMessage="1" sqref="I22 I55" xr:uid="{00000000-0002-0000-0900-000008000000}">
      <formula1>"Please select,AA3,GRI3"</formula1>
    </dataValidation>
    <dataValidation type="list" allowBlank="1" showInputMessage="1" showErrorMessage="1" sqref="I21 I54" xr:uid="{00000000-0002-0000-0900-000009000000}">
      <formula1>"Please select,AA1,GRI3"</formula1>
    </dataValidation>
    <dataValidation type="list" allowBlank="1" showInputMessage="1" showErrorMessage="1" sqref="I20 I53" xr:uid="{00000000-0002-0000-0900-00000A000000}">
      <formula1>"Please select,AA1,AA2,GRI2"</formula1>
    </dataValidation>
    <dataValidation type="list" allowBlank="1" showInputMessage="1" showErrorMessage="1" sqref="I44 I6 I13" xr:uid="{00000000-0002-0000-0900-00000B000000}">
      <formula1>"Please select,FAR1,FAR2"</formula1>
    </dataValidation>
    <dataValidation type="list" allowBlank="1" showInputMessage="1" showErrorMessage="1" sqref="C102:G102 C105:G105 C108:G108 C111:G111 C114:G114" xr:uid="{00000000-0002-0000-0900-00000C000000}">
      <formula1>"Please select, Achieved, Not achieved"</formula1>
    </dataValidation>
    <dataValidation type="list" allowBlank="1" showInputMessage="1" showErrorMessage="1" sqref="I10 I17 I26 I31 I37:I38 I48 I59 I66 I72 I79 I86 I93" xr:uid="{00000000-0002-0000-0900-00000D000000}">
      <formula1>"Please select,FAR1,FAR2,FAR3,AA1,AA2,AA3,T1,T2,T3,MF1,MF2,MF3,GRI1,GRI2,GRI3,IBR1,IBR2,IBR3"</formula1>
    </dataValidation>
  </dataValidations>
  <pageMargins left="0.46" right="0.45" top="0.64" bottom="0.44" header="0.36" footer="0.3"/>
  <pageSetup paperSize="9" scale="36" fitToHeight="0" orientation="portrait" horizontalDpi="300" verticalDpi="300" r:id="rId1"/>
  <headerFooter>
    <oddFooter>Page &amp;P of &amp;N</oddFooter>
  </headerFooter>
  <rowBreaks count="2" manualBreakCount="2">
    <brk id="3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M58"/>
  <sheetViews>
    <sheetView tabSelected="1" zoomScale="70" zoomScaleNormal="70" zoomScalePageLayoutView="55" workbookViewId="0">
      <selection activeCell="P4" sqref="P4"/>
    </sheetView>
  </sheetViews>
  <sheetFormatPr defaultColWidth="9" defaultRowHeight="15.75"/>
  <cols>
    <col min="1" max="1" width="25.5" style="1" customWidth="1"/>
    <col min="2" max="2" width="74.5" style="1" customWidth="1"/>
    <col min="3" max="3" width="25.5" style="1" customWidth="1"/>
    <col min="4" max="4" width="25.5" style="122" customWidth="1"/>
    <col min="5" max="5" width="27.125" style="122" customWidth="1"/>
    <col min="6" max="6" width="25.5" style="122" customWidth="1"/>
    <col min="7" max="7" width="25.5" style="2" customWidth="1"/>
    <col min="8" max="8" width="0.5" style="1" hidden="1" customWidth="1"/>
    <col min="9" max="16384" width="9" style="1"/>
  </cols>
  <sheetData>
    <row r="1" spans="1:13" s="302" customFormat="1" ht="24" thickBot="1">
      <c r="A1" s="367" t="s">
        <v>660</v>
      </c>
      <c r="B1" s="304"/>
      <c r="F1" s="303"/>
      <c r="G1" s="304"/>
    </row>
    <row r="2" spans="1:13" s="302" customFormat="1" ht="24" thickBot="1">
      <c r="A2" s="367"/>
      <c r="B2" s="304"/>
      <c r="F2" s="303"/>
      <c r="G2" s="304"/>
      <c r="I2" s="493" t="s">
        <v>718</v>
      </c>
      <c r="J2" s="494"/>
      <c r="K2" s="494"/>
      <c r="L2" s="494"/>
      <c r="M2" s="495"/>
    </row>
    <row r="3" spans="1:13" s="302" customFormat="1" ht="45" customHeight="1" thickBot="1">
      <c r="A3" s="251" t="s">
        <v>705</v>
      </c>
      <c r="B3" s="344"/>
      <c r="C3" s="517" t="s">
        <v>706</v>
      </c>
      <c r="D3" s="517"/>
      <c r="E3" s="345"/>
      <c r="F3" s="345"/>
      <c r="G3" s="345"/>
      <c r="I3" s="496" t="s">
        <v>392</v>
      </c>
      <c r="J3" s="496" t="s">
        <v>393</v>
      </c>
      <c r="K3" s="498" t="s">
        <v>394</v>
      </c>
      <c r="L3" s="500" t="s">
        <v>719</v>
      </c>
      <c r="M3" s="501"/>
    </row>
    <row r="4" spans="1:13" s="302" customFormat="1" ht="72.75" thickBot="1">
      <c r="A4" s="505" t="s">
        <v>376</v>
      </c>
      <c r="B4" s="505"/>
      <c r="C4" s="346" t="s">
        <v>575</v>
      </c>
      <c r="D4" s="346" t="s">
        <v>576</v>
      </c>
      <c r="E4" s="410" t="s">
        <v>717</v>
      </c>
      <c r="F4" s="346" t="s">
        <v>695</v>
      </c>
      <c r="G4" s="346" t="s">
        <v>673</v>
      </c>
      <c r="I4" s="497"/>
      <c r="J4" s="497"/>
      <c r="K4" s="499"/>
      <c r="L4" s="411" t="s">
        <v>395</v>
      </c>
      <c r="M4" s="411" t="s">
        <v>396</v>
      </c>
    </row>
    <row r="5" spans="1:13" s="302" customFormat="1" ht="30" customHeight="1">
      <c r="A5" s="358" t="s">
        <v>27</v>
      </c>
      <c r="B5" s="359" t="s">
        <v>23</v>
      </c>
      <c r="C5" s="360">
        <f>ROUND((SUMIF('Old PEF (For student''s input)'!$I$6:$I$37,A5,'Old PEF (For student''s input)'!$H$6:$H$37))*1,0)</f>
        <v>0</v>
      </c>
      <c r="D5" s="361">
        <f>ROUND((SUMIF('Old PEF (For student''s input)'!$I$44:$I$93,A5,'Old PEF (For student''s input)'!$H$44:$H$93))*1,0)</f>
        <v>0</v>
      </c>
      <c r="E5" s="357">
        <f>SUM(C5:D5)</f>
        <v>0</v>
      </c>
      <c r="F5" s="362" t="str">
        <f>IF(E5&gt;=75,"Yes","No")</f>
        <v>No</v>
      </c>
      <c r="G5" s="401" t="str">
        <f>IF(E5&gt;0,MAX(0,75-E5),"")</f>
        <v/>
      </c>
      <c r="I5" s="360">
        <f>SUMIF('Old PEF (For student''s input)'!$I$6:$I$37,'Revised PEF - After conversion'!A5,'Old PEF (For student''s input)'!$C$6:$C$37)+SUMIF('Old PEF (For student''s input)'!$I$44:$I$93,'Revised PEF - After conversion'!A5,'Old PEF (For student''s input)'!$C$44:$C$93)</f>
        <v>0</v>
      </c>
      <c r="J5" s="360">
        <f>SUMIF('Old PEF (For student''s input)'!$I$6:$I$37,'Revised PEF - After conversion'!A5,'Old PEF (For student''s input)'!$D$6:$D$37)+SUMIF('Old PEF (For student''s input)'!$I$44:$I$93,'Revised PEF - After conversion'!A5,'Old PEF (For student''s input)'!$D$44:$D$93)</f>
        <v>0</v>
      </c>
      <c r="K5" s="360">
        <f>SUMIF('Old PEF (For student''s input)'!$I$6:$I$37,'Revised PEF - After conversion'!A5,'Old PEF (For student''s input)'!$E$6:$E$37)+SUMIF('Old PEF (For student''s input)'!$I$44:$I$93,'Revised PEF - After conversion'!A5,'Old PEF (For student''s input)'!$E$44:$E$93)</f>
        <v>0</v>
      </c>
      <c r="L5" s="360">
        <f>SUMIF('Old PEF (For student''s input)'!$I$6:$I$37,'Revised PEF - After conversion'!A5,'Old PEF (For student''s input)'!$F$6:$F$37)+SUMIF('Old PEF (For student''s input)'!$I$44:$I$93,'Revised PEF - After conversion'!A5,'Old PEF (For student''s input)'!$F$44:$F$93)</f>
        <v>0</v>
      </c>
      <c r="M5" s="360">
        <f>SUMIF('Old PEF (For student''s input)'!$I$6:$I$37,'Revised PEF - After conversion'!A5,'Old PEF (For student''s input)'!$G$6:$G$37)+SUMIF('Old PEF (For student''s input)'!$I$44:$I$93,'Revised PEF - After conversion'!A5,'Old PEF (For student''s input)'!$G$44:$G$93)</f>
        <v>0</v>
      </c>
    </row>
    <row r="6" spans="1:13" s="302" customFormat="1" ht="30" customHeight="1">
      <c r="A6" s="358" t="s">
        <v>26</v>
      </c>
      <c r="B6" s="359" t="s">
        <v>24</v>
      </c>
      <c r="C6" s="360">
        <f>ROUND((SUMIF('Old PEF (For student''s input)'!$I$6:$I$37,A6,'Old PEF (For student''s input)'!$H$6:$H$37))*1,0)</f>
        <v>0</v>
      </c>
      <c r="D6" s="361">
        <f>ROUND((SUMIF('Old PEF (For student''s input)'!$I$44:$I$93,A6,'Old PEF (For student''s input)'!$H$44:$H$93))*1,0)</f>
        <v>0</v>
      </c>
      <c r="E6" s="357">
        <f>SUM(C6:D6)</f>
        <v>0</v>
      </c>
      <c r="F6" s="362" t="str">
        <f t="shared" ref="F6:F7" si="0">IF(E6&gt;=75,"Yes","No")</f>
        <v>No</v>
      </c>
      <c r="G6" s="401" t="str">
        <f t="shared" ref="G6:G7" si="1">IF(E6&gt;0,MAX(0,75-E6),"")</f>
        <v/>
      </c>
      <c r="I6" s="360">
        <f>SUMIF('Old PEF (For student''s input)'!$I$6:$I$37,'Revised PEF - After conversion'!A6,'Old PEF (For student''s input)'!$C$6:$C$37)+SUMIF('Old PEF (For student''s input)'!$I$44:$I$93,'Revised PEF - After conversion'!A6,'Old PEF (For student''s input)'!$C$44:$C$93)</f>
        <v>0</v>
      </c>
      <c r="J6" s="360">
        <f>SUMIF('Old PEF (For student''s input)'!$I$6:$I$37,'Revised PEF - After conversion'!A6,'Old PEF (For student''s input)'!$D$6:$D$37)+SUMIF('Old PEF (For student''s input)'!$I$44:$I$93,'Revised PEF - After conversion'!A6,'Old PEF (For student''s input)'!$D$44:$D$93)</f>
        <v>0</v>
      </c>
      <c r="K6" s="360">
        <f>SUMIF('Old PEF (For student''s input)'!$I$6:$I$37,'Revised PEF - After conversion'!A6,'Old PEF (For student''s input)'!$E$6:$E$37)+SUMIF('Old PEF (For student''s input)'!$I$44:$I$93,'Revised PEF - After conversion'!A6,'Old PEF (For student''s input)'!$E$44:$E$93)</f>
        <v>0</v>
      </c>
      <c r="L6" s="360">
        <f>SUMIF('Old PEF (For student''s input)'!$I$6:$I$37,'Revised PEF - After conversion'!A6,'Old PEF (For student''s input)'!$F$6:$F$37)+SUMIF('Old PEF (For student''s input)'!$I$44:$I$93,'Revised PEF - After conversion'!A6,'Old PEF (For student''s input)'!$F$44:$F$93)</f>
        <v>0</v>
      </c>
      <c r="M6" s="360">
        <f>SUMIF('Old PEF (For student''s input)'!$I$6:$I$37,'Revised PEF - After conversion'!A6,'Old PEF (For student''s input)'!$G$6:$G$37)+SUMIF('Old PEF (For student''s input)'!$I$44:$I$93,'Revised PEF - After conversion'!A6,'Old PEF (For student''s input)'!$G$44:$G$93)</f>
        <v>0</v>
      </c>
    </row>
    <row r="7" spans="1:13" s="302" customFormat="1" ht="30" customHeight="1">
      <c r="A7" s="358" t="s">
        <v>28</v>
      </c>
      <c r="B7" s="359" t="s">
        <v>25</v>
      </c>
      <c r="C7" s="360">
        <f>ROUND((SUMIF('Old PEF (For student''s input)'!$I$6:$I$37,A7,'Old PEF (For student''s input)'!$H$6:$H$37))*1,0)</f>
        <v>0</v>
      </c>
      <c r="D7" s="361">
        <f>ROUND((SUMIF('Old PEF (For student''s input)'!$I$44:$I$93,A7,'Old PEF (For student''s input)'!$H$44:$H$93))*1,0)</f>
        <v>0</v>
      </c>
      <c r="E7" s="357">
        <f>SUM(C7:D7)</f>
        <v>0</v>
      </c>
      <c r="F7" s="362" t="str">
        <f t="shared" si="0"/>
        <v>No</v>
      </c>
      <c r="G7" s="401" t="str">
        <f t="shared" si="1"/>
        <v/>
      </c>
      <c r="I7" s="360">
        <f>SUMIF('Old PEF (For student''s input)'!$I$6:$I$37,'Revised PEF - After conversion'!A7,'Old PEF (For student''s input)'!$C$6:$C$37)+SUMIF('Old PEF (For student''s input)'!$I$44:$I$93,'Revised PEF - After conversion'!A7,'Old PEF (For student''s input)'!$C$44:$C$93)</f>
        <v>0</v>
      </c>
      <c r="J7" s="360">
        <f>SUMIF('Old PEF (For student''s input)'!$I$6:$I$37,'Revised PEF - After conversion'!A7,'Old PEF (For student''s input)'!$D$6:$D$37)+SUMIF('Old PEF (For student''s input)'!$I$44:$I$93,'Revised PEF - After conversion'!A7,'Old PEF (For student''s input)'!$D$44:$D$93)</f>
        <v>0</v>
      </c>
      <c r="K7" s="360">
        <f>SUMIF('Old PEF (For student''s input)'!$I$6:$I$37,'Revised PEF - After conversion'!A7,'Old PEF (For student''s input)'!$E$6:$E$37)+SUMIF('Old PEF (For student''s input)'!$I$44:$I$93,'Revised PEF - After conversion'!A7,'Old PEF (For student''s input)'!$E$44:$E$93)</f>
        <v>0</v>
      </c>
      <c r="L7" s="360">
        <f>SUMIF('Old PEF (For student''s input)'!$I$6:$I$37,'Revised PEF - After conversion'!A7,'Old PEF (For student''s input)'!$F$6:$F$37)+SUMIF('Old PEF (For student''s input)'!$I$44:$I$93,'Revised PEF - After conversion'!A7,'Old PEF (For student''s input)'!$F$44:$F$93)</f>
        <v>0</v>
      </c>
      <c r="M7" s="360">
        <f>SUMIF('Old PEF (For student''s input)'!$I$6:$I$37,'Revised PEF - After conversion'!A7,'Old PEF (For student''s input)'!$G$6:$G$37)+SUMIF('Old PEF (For student''s input)'!$I$44:$I$93,'Revised PEF - After conversion'!A7,'Old PEF (For student''s input)'!$G$44:$G$93)</f>
        <v>0</v>
      </c>
    </row>
    <row r="8" spans="1:13" s="302" customFormat="1" ht="30" customHeight="1">
      <c r="A8" s="301"/>
      <c r="B8" s="51"/>
      <c r="C8" s="51"/>
      <c r="D8" s="348"/>
      <c r="E8" s="36"/>
      <c r="F8" s="326"/>
      <c r="G8" s="348"/>
      <c r="I8" s="51"/>
      <c r="J8" s="51"/>
      <c r="K8" s="51"/>
      <c r="L8" s="51"/>
      <c r="M8" s="51"/>
    </row>
    <row r="9" spans="1:13" s="302" customFormat="1" ht="30" customHeight="1">
      <c r="A9" s="505" t="s">
        <v>377</v>
      </c>
      <c r="B9" s="505"/>
      <c r="C9" s="349"/>
      <c r="D9" s="350"/>
      <c r="E9" s="345"/>
      <c r="F9" s="351"/>
      <c r="G9" s="350"/>
      <c r="I9" s="349"/>
      <c r="J9" s="349"/>
      <c r="K9" s="349"/>
      <c r="L9" s="349"/>
      <c r="M9" s="349"/>
    </row>
    <row r="10" spans="1:13" s="302" customFormat="1" ht="29.1" customHeight="1">
      <c r="A10" s="358" t="s">
        <v>14</v>
      </c>
      <c r="B10" s="363" t="s">
        <v>696</v>
      </c>
      <c r="C10" s="360">
        <f>ROUND((SUMIF('Old PEF (For student''s input)'!$I$6:$I$37,A10,'Old PEF (For student''s input)'!$H$6:$H$37))*1,0)</f>
        <v>0</v>
      </c>
      <c r="D10" s="361">
        <f>ROUND((SUMIF('Old PEF (For student''s input)'!$I$44:$I$93,A10,'Old PEF (For student''s input)'!$H$44:$H$93))*1,0)</f>
        <v>0</v>
      </c>
      <c r="E10" s="357">
        <f>SUM(C10:D10)</f>
        <v>0</v>
      </c>
      <c r="F10" s="362" t="str">
        <f t="shared" ref="F10:F12" si="2">IF(E10&gt;=75,"Yes","No")</f>
        <v>No</v>
      </c>
      <c r="G10" s="401" t="str">
        <f t="shared" ref="G10:G12" si="3">IF(E10&gt;0,MAX(0,75-E10),"")</f>
        <v/>
      </c>
      <c r="I10" s="360">
        <f>SUMIF('Old PEF (For student''s input)'!$I$6:$I$37,'Revised PEF - After conversion'!A10,'Old PEF (For student''s input)'!$C$6:$C$37)+SUMIF('Old PEF (For student''s input)'!$I$44:$I$93,'Revised PEF - After conversion'!A10,'Old PEF (For student''s input)'!$C$44:$C$93)</f>
        <v>0</v>
      </c>
      <c r="J10" s="360">
        <f>SUMIF('Old PEF (For student''s input)'!$I$6:$I$37,'Revised PEF - After conversion'!A10,'Old PEF (For student''s input)'!$D$6:$D$37)+SUMIF('Old PEF (For student''s input)'!$I$44:$I$93,'Revised PEF - After conversion'!A10,'Old PEF (For student''s input)'!$D$44:$D$93)</f>
        <v>0</v>
      </c>
      <c r="K10" s="360">
        <f>SUMIF('Old PEF (For student''s input)'!$I$6:$I$37,'Revised PEF - After conversion'!A10,'Old PEF (For student''s input)'!$E$6:$E$37)+SUMIF('Old PEF (For student''s input)'!$I$44:$I$93,'Revised PEF - After conversion'!A10,'Old PEF (For student''s input)'!$E$44:$E$93)</f>
        <v>0</v>
      </c>
      <c r="L10" s="360">
        <f>SUMIF('Old PEF (For student''s input)'!$I$6:$I$37,'Revised PEF - After conversion'!A10,'Old PEF (For student''s input)'!$F$6:$F$37)+SUMIF('Old PEF (For student''s input)'!$I$44:$I$93,'Revised PEF - After conversion'!A10,'Old PEF (For student''s input)'!$F$44:$F$93)</f>
        <v>0</v>
      </c>
      <c r="M10" s="360">
        <f>SUMIF('Old PEF (For student''s input)'!$I$6:$I$37,'Revised PEF - After conversion'!A10,'Old PEF (For student''s input)'!$G$6:$G$37)+SUMIF('Old PEF (For student''s input)'!$I$44:$I$93,'Revised PEF - After conversion'!A10,'Old PEF (For student''s input)'!$G$44:$G$93)</f>
        <v>0</v>
      </c>
    </row>
    <row r="11" spans="1:13" s="302" customFormat="1" ht="29.1" customHeight="1">
      <c r="A11" s="358" t="s">
        <v>15</v>
      </c>
      <c r="B11" s="359" t="s">
        <v>12</v>
      </c>
      <c r="C11" s="360">
        <f>ROUND((SUMIF('Old PEF (For student''s input)'!$I$6:$I$37,A11,'Old PEF (For student''s input)'!$H$6:$H$37))*1,0)</f>
        <v>0</v>
      </c>
      <c r="D11" s="361">
        <f>ROUND((SUMIF('Old PEF (For student''s input)'!$I$44:$I$93,A11,'Old PEF (For student''s input)'!$H$44:$H$93))*1,0)</f>
        <v>0</v>
      </c>
      <c r="E11" s="357">
        <f>SUM(C11:D11)</f>
        <v>0</v>
      </c>
      <c r="F11" s="362" t="str">
        <f t="shared" si="2"/>
        <v>No</v>
      </c>
      <c r="G11" s="401" t="str">
        <f t="shared" si="3"/>
        <v/>
      </c>
      <c r="I11" s="360">
        <f>SUMIF('Old PEF (For student''s input)'!$I$6:$I$37,'Revised PEF - After conversion'!A11,'Old PEF (For student''s input)'!$C$6:$C$37)+SUMIF('Old PEF (For student''s input)'!$I$44:$I$93,'Revised PEF - After conversion'!A11,'Old PEF (For student''s input)'!$C$44:$C$93)</f>
        <v>0</v>
      </c>
      <c r="J11" s="360">
        <f>SUMIF('Old PEF (For student''s input)'!$I$6:$I$37,'Revised PEF - After conversion'!A11,'Old PEF (For student''s input)'!$D$6:$D$37)+SUMIF('Old PEF (For student''s input)'!$I$44:$I$93,'Revised PEF - After conversion'!A11,'Old PEF (For student''s input)'!$D$44:$D$93)</f>
        <v>0</v>
      </c>
      <c r="K11" s="360">
        <f>SUMIF('Old PEF (For student''s input)'!$I$6:$I$37,'Revised PEF - After conversion'!A11,'Old PEF (For student''s input)'!$E$6:$E$37)+SUMIF('Old PEF (For student''s input)'!$I$44:$I$93,'Revised PEF - After conversion'!A11,'Old PEF (For student''s input)'!$E$44:$E$93)</f>
        <v>0</v>
      </c>
      <c r="L11" s="360">
        <f>SUMIF('Old PEF (For student''s input)'!$I$6:$I$37,'Revised PEF - After conversion'!A11,'Old PEF (For student''s input)'!$F$6:$F$37)+SUMIF('Old PEF (For student''s input)'!$I$44:$I$93,'Revised PEF - After conversion'!A11,'Old PEF (For student''s input)'!$F$44:$F$93)</f>
        <v>0</v>
      </c>
      <c r="M11" s="360">
        <f>SUMIF('Old PEF (For student''s input)'!$I$6:$I$37,'Revised PEF - After conversion'!A11,'Old PEF (For student''s input)'!$G$6:$G$37)+SUMIF('Old PEF (For student''s input)'!$I$44:$I$93,'Revised PEF - After conversion'!A11,'Old PEF (For student''s input)'!$G$44:$G$93)</f>
        <v>0</v>
      </c>
    </row>
    <row r="12" spans="1:13" s="302" customFormat="1" ht="30" customHeight="1">
      <c r="A12" s="358" t="s">
        <v>16</v>
      </c>
      <c r="B12" s="359" t="s">
        <v>13</v>
      </c>
      <c r="C12" s="360">
        <f>ROUND((SUMIF('Old PEF (For student''s input)'!$I$6:$I$37,A12,'Old PEF (For student''s input)'!$H$6:$H$37))*1,0)</f>
        <v>0</v>
      </c>
      <c r="D12" s="361">
        <f>ROUND((SUMIF('Old PEF (For student''s input)'!$I$44:$I$93,A12,'Old PEF (For student''s input)'!$H$44:$H$93))*1,0)</f>
        <v>0</v>
      </c>
      <c r="E12" s="357">
        <f>SUM(C12:D12)</f>
        <v>0</v>
      </c>
      <c r="F12" s="362" t="str">
        <f t="shared" si="2"/>
        <v>No</v>
      </c>
      <c r="G12" s="401" t="str">
        <f t="shared" si="3"/>
        <v/>
      </c>
      <c r="I12" s="360">
        <f>SUMIF('Old PEF (For student''s input)'!$I$6:$I$37,'Revised PEF - After conversion'!A12,'Old PEF (For student''s input)'!$C$6:$C$37)+SUMIF('Old PEF (For student''s input)'!$I$44:$I$93,'Revised PEF - After conversion'!A12,'Old PEF (For student''s input)'!$C$44:$C$93)</f>
        <v>0</v>
      </c>
      <c r="J12" s="360">
        <f>SUMIF('Old PEF (For student''s input)'!$I$6:$I$37,'Revised PEF - After conversion'!A12,'Old PEF (For student''s input)'!$D$6:$D$37)+SUMIF('Old PEF (For student''s input)'!$I$44:$I$93,'Revised PEF - After conversion'!A12,'Old PEF (For student''s input)'!$D$44:$D$93)</f>
        <v>0</v>
      </c>
      <c r="K12" s="360">
        <f>SUMIF('Old PEF (For student''s input)'!$I$6:$I$37,'Revised PEF - After conversion'!A12,'Old PEF (For student''s input)'!$E$6:$E$37)+SUMIF('Old PEF (For student''s input)'!$I$44:$I$93,'Revised PEF - After conversion'!A12,'Old PEF (For student''s input)'!$E$44:$E$93)</f>
        <v>0</v>
      </c>
      <c r="L12" s="360">
        <f>SUMIF('Old PEF (For student''s input)'!$I$6:$I$37,'Revised PEF - After conversion'!A12,'Old PEF (For student''s input)'!$F$6:$F$37)+SUMIF('Old PEF (For student''s input)'!$I$44:$I$93,'Revised PEF - After conversion'!A12,'Old PEF (For student''s input)'!$F$44:$F$93)</f>
        <v>0</v>
      </c>
      <c r="M12" s="360">
        <f>SUMIF('Old PEF (For student''s input)'!$I$6:$I$37,'Revised PEF - After conversion'!A12,'Old PEF (For student''s input)'!$G$6:$G$37)+SUMIF('Old PEF (For student''s input)'!$I$44:$I$93,'Revised PEF - After conversion'!A12,'Old PEF (For student''s input)'!$G$44:$G$93)</f>
        <v>0</v>
      </c>
    </row>
    <row r="13" spans="1:13" s="302" customFormat="1" ht="30" customHeight="1">
      <c r="A13" s="352"/>
      <c r="B13" s="353"/>
      <c r="C13" s="352"/>
      <c r="D13" s="348"/>
      <c r="E13" s="36"/>
      <c r="F13" s="326"/>
      <c r="G13" s="348"/>
      <c r="I13" s="352"/>
      <c r="J13" s="352"/>
      <c r="K13" s="352"/>
      <c r="L13" s="352"/>
      <c r="M13" s="352"/>
    </row>
    <row r="14" spans="1:13" s="302" customFormat="1" ht="30" customHeight="1">
      <c r="A14" s="505" t="s">
        <v>378</v>
      </c>
      <c r="B14" s="505"/>
      <c r="C14" s="349"/>
      <c r="D14" s="350"/>
      <c r="E14" s="345"/>
      <c r="F14" s="351"/>
      <c r="G14" s="350"/>
      <c r="I14" s="349"/>
      <c r="J14" s="349"/>
      <c r="K14" s="349"/>
      <c r="L14" s="349"/>
      <c r="M14" s="349"/>
    </row>
    <row r="15" spans="1:13" s="302" customFormat="1" ht="30" customHeight="1">
      <c r="A15" s="358" t="s">
        <v>17</v>
      </c>
      <c r="B15" s="359" t="s">
        <v>21</v>
      </c>
      <c r="C15" s="360">
        <f>ROUND((SUMIF('Old PEF (For student''s input)'!$I$6:$I$37,A15,'Old PEF (For student''s input)'!$H$6:$H$37))*1,0)</f>
        <v>0</v>
      </c>
      <c r="D15" s="361">
        <f>ROUND((SUMIF('Old PEF (For student''s input)'!$I$44:$I$93,A15,'Old PEF (For student''s input)'!$H$44:$H$93))*1,0)</f>
        <v>0</v>
      </c>
      <c r="E15" s="357">
        <f>SUM(C15:D15)</f>
        <v>0</v>
      </c>
      <c r="F15" s="362" t="str">
        <f t="shared" ref="F15:F17" si="4">IF(E15&gt;=75,"Yes","No")</f>
        <v>No</v>
      </c>
      <c r="G15" s="401" t="str">
        <f t="shared" ref="G15:G17" si="5">IF(E15&gt;0,MAX(0,75-E15),"")</f>
        <v/>
      </c>
      <c r="I15" s="360">
        <f>SUMIF('Old PEF (For student''s input)'!$I$6:$I$37,'Revised PEF - After conversion'!A15,'Old PEF (For student''s input)'!$C$6:$C$37)+SUMIF('Old PEF (For student''s input)'!$I$44:$I$93,'Revised PEF - After conversion'!A15,'Old PEF (For student''s input)'!$C$44:$C$93)</f>
        <v>0</v>
      </c>
      <c r="J15" s="360">
        <f>SUMIF('Old PEF (For student''s input)'!$I$6:$I$37,'Revised PEF - After conversion'!A15,'Old PEF (For student''s input)'!$D$6:$D$37)+SUMIF('Old PEF (For student''s input)'!$I$44:$I$93,'Revised PEF - After conversion'!A15,'Old PEF (For student''s input)'!$D$44:$D$93)</f>
        <v>0</v>
      </c>
      <c r="K15" s="360">
        <f>SUMIF('Old PEF (For student''s input)'!$I$6:$I$37,'Revised PEF - After conversion'!A15,'Old PEF (For student''s input)'!$E$6:$E$37)+SUMIF('Old PEF (For student''s input)'!$I$44:$I$93,'Revised PEF - After conversion'!A15,'Old PEF (For student''s input)'!$E$44:$E$93)</f>
        <v>0</v>
      </c>
      <c r="L15" s="360">
        <f>SUMIF('Old PEF (For student''s input)'!$I$6:$I$37,'Revised PEF - After conversion'!A15,'Old PEF (For student''s input)'!$F$6:$F$37)+SUMIF('Old PEF (For student''s input)'!$I$44:$I$93,'Revised PEF - After conversion'!A15,'Old PEF (For student''s input)'!$F$44:$F$93)</f>
        <v>0</v>
      </c>
      <c r="M15" s="360">
        <f>SUMIF('Old PEF (For student''s input)'!$I$6:$I$37,'Revised PEF - After conversion'!A15,'Old PEF (For student''s input)'!$G$6:$G$37)+SUMIF('Old PEF (For student''s input)'!$I$44:$I$93,'Revised PEF - After conversion'!A15,'Old PEF (For student''s input)'!$G$44:$G$93)</f>
        <v>0</v>
      </c>
    </row>
    <row r="16" spans="1:13" s="302" customFormat="1" ht="30" customHeight="1">
      <c r="A16" s="358" t="s">
        <v>18</v>
      </c>
      <c r="B16" s="359" t="s">
        <v>22</v>
      </c>
      <c r="C16" s="360">
        <f>ROUND((SUMIF('Old PEF (For student''s input)'!$I$6:$I$37,A16,'Old PEF (For student''s input)'!$H$6:$H$37))*1,0)</f>
        <v>0</v>
      </c>
      <c r="D16" s="361">
        <f>ROUND((SUMIF('Old PEF (For student''s input)'!$I$44:$I$93,A16,'Old PEF (For student''s input)'!$H$44:$H$93))*1,0)</f>
        <v>0</v>
      </c>
      <c r="E16" s="357">
        <f>SUM(C16:D16)</f>
        <v>0</v>
      </c>
      <c r="F16" s="362" t="str">
        <f t="shared" si="4"/>
        <v>No</v>
      </c>
      <c r="G16" s="401" t="str">
        <f t="shared" si="5"/>
        <v/>
      </c>
      <c r="I16" s="360">
        <f>SUMIF('Old PEF (For student''s input)'!$I$6:$I$37,'Revised PEF - After conversion'!A16,'Old PEF (For student''s input)'!$C$6:$C$37)+SUMIF('Old PEF (For student''s input)'!$I$44:$I$93,'Revised PEF - After conversion'!A16,'Old PEF (For student''s input)'!$C$44:$C$93)</f>
        <v>0</v>
      </c>
      <c r="J16" s="360">
        <f>SUMIF('Old PEF (For student''s input)'!$I$6:$I$37,'Revised PEF - After conversion'!A16,'Old PEF (For student''s input)'!$D$6:$D$37)+SUMIF('Old PEF (For student''s input)'!$I$44:$I$93,'Revised PEF - After conversion'!A16,'Old PEF (For student''s input)'!$D$44:$D$93)</f>
        <v>0</v>
      </c>
      <c r="K16" s="360">
        <f>SUMIF('Old PEF (For student''s input)'!$I$6:$I$37,'Revised PEF - After conversion'!A16,'Old PEF (For student''s input)'!$E$6:$E$37)+SUMIF('Old PEF (For student''s input)'!$I$44:$I$93,'Revised PEF - After conversion'!A16,'Old PEF (For student''s input)'!$E$44:$E$93)</f>
        <v>0</v>
      </c>
      <c r="L16" s="360">
        <f>SUMIF('Old PEF (For student''s input)'!$I$6:$I$37,'Revised PEF - After conversion'!A16,'Old PEF (For student''s input)'!$F$6:$F$37)+SUMIF('Old PEF (For student''s input)'!$I$44:$I$93,'Revised PEF - After conversion'!A16,'Old PEF (For student''s input)'!$F$44:$F$93)</f>
        <v>0</v>
      </c>
      <c r="M16" s="360">
        <f>SUMIF('Old PEF (For student''s input)'!$I$6:$I$37,'Revised PEF - After conversion'!A16,'Old PEF (For student''s input)'!$G$6:$G$37)+SUMIF('Old PEF (For student''s input)'!$I$44:$I$93,'Revised PEF - After conversion'!A16,'Old PEF (For student''s input)'!$G$44:$G$93)</f>
        <v>0</v>
      </c>
    </row>
    <row r="17" spans="1:13" s="302" customFormat="1" ht="30" customHeight="1">
      <c r="A17" s="358" t="s">
        <v>19</v>
      </c>
      <c r="B17" s="359" t="s">
        <v>20</v>
      </c>
      <c r="C17" s="360">
        <f>ROUND((SUMIF('Old PEF (For student''s input)'!$I$6:$I$37,A17,'Old PEF (For student''s input)'!$H$6:$H$37))*1,0)</f>
        <v>0</v>
      </c>
      <c r="D17" s="361">
        <f>ROUND((SUMIF('Old PEF (For student''s input)'!$I$44:$I$93,A17,'Old PEF (For student''s input)'!$H$44:$H$93))*1,0)</f>
        <v>0</v>
      </c>
      <c r="E17" s="357">
        <f>SUM(C17:D17)</f>
        <v>0</v>
      </c>
      <c r="F17" s="362" t="str">
        <f t="shared" si="4"/>
        <v>No</v>
      </c>
      <c r="G17" s="401" t="str">
        <f t="shared" si="5"/>
        <v/>
      </c>
      <c r="I17" s="360">
        <f>SUMIF('Old PEF (For student''s input)'!$I$6:$I$37,'Revised PEF - After conversion'!A17,'Old PEF (For student''s input)'!$C$6:$C$37)+SUMIF('Old PEF (For student''s input)'!$I$44:$I$93,'Revised PEF - After conversion'!A17,'Old PEF (For student''s input)'!$C$44:$C$93)</f>
        <v>0</v>
      </c>
      <c r="J17" s="360">
        <f>SUMIF('Old PEF (For student''s input)'!$I$6:$I$37,'Revised PEF - After conversion'!A17,'Old PEF (For student''s input)'!$D$6:$D$37)+SUMIF('Old PEF (For student''s input)'!$I$44:$I$93,'Revised PEF - After conversion'!A17,'Old PEF (For student''s input)'!$D$44:$D$93)</f>
        <v>0</v>
      </c>
      <c r="K17" s="360">
        <f>SUMIF('Old PEF (For student''s input)'!$I$6:$I$37,'Revised PEF - After conversion'!A17,'Old PEF (For student''s input)'!$E$6:$E$37)+SUMIF('Old PEF (For student''s input)'!$I$44:$I$93,'Revised PEF - After conversion'!A17,'Old PEF (For student''s input)'!$E$44:$E$93)</f>
        <v>0</v>
      </c>
      <c r="L17" s="360">
        <f>SUMIF('Old PEF (For student''s input)'!$I$6:$I$37,'Revised PEF - After conversion'!A17,'Old PEF (For student''s input)'!$F$6:$F$37)+SUMIF('Old PEF (For student''s input)'!$I$44:$I$93,'Revised PEF - After conversion'!A17,'Old PEF (For student''s input)'!$F$44:$F$93)</f>
        <v>0</v>
      </c>
      <c r="M17" s="360">
        <f>SUMIF('Old PEF (For student''s input)'!$I$6:$I$37,'Revised PEF - After conversion'!A17,'Old PEF (For student''s input)'!$G$6:$G$37)+SUMIF('Old PEF (For student''s input)'!$I$44:$I$93,'Revised PEF - After conversion'!A17,'Old PEF (For student''s input)'!$G$44:$G$93)</f>
        <v>0</v>
      </c>
    </row>
    <row r="18" spans="1:13" s="302" customFormat="1" ht="30" customHeight="1">
      <c r="A18" s="301"/>
      <c r="B18" s="51"/>
      <c r="C18" s="51"/>
      <c r="D18" s="348"/>
      <c r="E18" s="36"/>
      <c r="F18" s="326"/>
      <c r="G18" s="348"/>
      <c r="I18" s="51"/>
      <c r="J18" s="51"/>
      <c r="K18" s="51"/>
      <c r="L18" s="51"/>
      <c r="M18" s="51"/>
    </row>
    <row r="19" spans="1:13" s="302" customFormat="1" ht="30" customHeight="1">
      <c r="A19" s="505" t="s">
        <v>379</v>
      </c>
      <c r="B19" s="505"/>
      <c r="C19" s="349"/>
      <c r="D19" s="350"/>
      <c r="E19" s="345"/>
      <c r="F19" s="351"/>
      <c r="G19" s="350"/>
      <c r="I19" s="349"/>
      <c r="J19" s="349"/>
      <c r="K19" s="349"/>
      <c r="L19" s="349"/>
      <c r="M19" s="349"/>
    </row>
    <row r="20" spans="1:13" s="302" customFormat="1" ht="30" customHeight="1">
      <c r="A20" s="358" t="s">
        <v>76</v>
      </c>
      <c r="B20" s="359" t="s">
        <v>77</v>
      </c>
      <c r="C20" s="360">
        <f>ROUND((SUMIF('Old PEF (For student''s input)'!$I$6:$I$37,A20,'Old PEF (For student''s input)'!$H$6:$H$37))*1,0)</f>
        <v>0</v>
      </c>
      <c r="D20" s="361">
        <f>ROUND((SUMIF('Old PEF (For student''s input)'!$I$44:$I$93,A20,'Old PEF (For student''s input)'!$H$44:$H$93))*1,0)</f>
        <v>0</v>
      </c>
      <c r="E20" s="357">
        <f>SUM(C20:D20)</f>
        <v>0</v>
      </c>
      <c r="F20" s="362" t="str">
        <f t="shared" ref="F20:F22" si="6">IF(E20&gt;=75,"Yes","No")</f>
        <v>No</v>
      </c>
      <c r="G20" s="401" t="str">
        <f t="shared" ref="G20:G22" si="7">IF(E20&gt;0,MAX(0,75-E20),"")</f>
        <v/>
      </c>
      <c r="I20" s="360">
        <f>SUMIF('Old PEF (For student''s input)'!$I$6:$I$37,'Revised PEF - After conversion'!A20,'Old PEF (For student''s input)'!$C$6:$C$37)+SUMIF('Old PEF (For student''s input)'!$I$44:$I$93,'Revised PEF - After conversion'!A20,'Old PEF (For student''s input)'!$C$44:$C$93)</f>
        <v>0</v>
      </c>
      <c r="J20" s="360">
        <f>SUMIF('Old PEF (For student''s input)'!$I$6:$I$37,'Revised PEF - After conversion'!A20,'Old PEF (For student''s input)'!$D$6:$D$37)+SUMIF('Old PEF (For student''s input)'!$I$44:$I$93,'Revised PEF - After conversion'!A20,'Old PEF (For student''s input)'!$D$44:$D$93)</f>
        <v>0</v>
      </c>
      <c r="K20" s="360">
        <f>SUMIF('Old PEF (For student''s input)'!$I$6:$I$37,'Revised PEF - After conversion'!A20,'Old PEF (For student''s input)'!$E$6:$E$37)+SUMIF('Old PEF (For student''s input)'!$I$44:$I$93,'Revised PEF - After conversion'!A20,'Old PEF (For student''s input)'!$E$44:$E$93)</f>
        <v>0</v>
      </c>
      <c r="L20" s="360">
        <f>SUMIF('Old PEF (For student''s input)'!$I$6:$I$37,'Revised PEF - After conversion'!A20,'Old PEF (For student''s input)'!$F$6:$F$37)+SUMIF('Old PEF (For student''s input)'!$I$44:$I$93,'Revised PEF - After conversion'!A20,'Old PEF (For student''s input)'!$F$44:$F$93)</f>
        <v>0</v>
      </c>
      <c r="M20" s="360">
        <f>SUMIF('Old PEF (For student''s input)'!$I$6:$I$37,'Revised PEF - After conversion'!A20,'Old PEF (For student''s input)'!$G$6:$G$37)+SUMIF('Old PEF (For student''s input)'!$I$44:$I$93,'Revised PEF - After conversion'!A20,'Old PEF (For student''s input)'!$G$44:$G$93)</f>
        <v>0</v>
      </c>
    </row>
    <row r="21" spans="1:13" s="302" customFormat="1" ht="23.25">
      <c r="A21" s="358" t="s">
        <v>78</v>
      </c>
      <c r="B21" s="363" t="s">
        <v>550</v>
      </c>
      <c r="C21" s="360">
        <f>ROUND((SUMIF('Old PEF (For student''s input)'!$I$6:$I$37,A21,'Old PEF (For student''s input)'!$H$6:$H$37))*1,0)</f>
        <v>0</v>
      </c>
      <c r="D21" s="361">
        <f>ROUND((SUMIF('Old PEF (For student''s input)'!$I$44:$I$93,A21,'Old PEF (For student''s input)'!$H$44:$H$93))*1,0)</f>
        <v>0</v>
      </c>
      <c r="E21" s="357">
        <f>SUM(C21:D21)</f>
        <v>0</v>
      </c>
      <c r="F21" s="362" t="str">
        <f t="shared" si="6"/>
        <v>No</v>
      </c>
      <c r="G21" s="401" t="str">
        <f t="shared" si="7"/>
        <v/>
      </c>
      <c r="I21" s="360">
        <f>SUMIF('Old PEF (For student''s input)'!$I$6:$I$37,'Revised PEF - After conversion'!A21,'Old PEF (For student''s input)'!$C$6:$C$37)+SUMIF('Old PEF (For student''s input)'!$I$44:$I$93,'Revised PEF - After conversion'!A21,'Old PEF (For student''s input)'!$C$44:$C$93)</f>
        <v>0</v>
      </c>
      <c r="J21" s="360">
        <f>SUMIF('Old PEF (For student''s input)'!$I$6:$I$37,'Revised PEF - After conversion'!A21,'Old PEF (For student''s input)'!$D$6:$D$37)+SUMIF('Old PEF (For student''s input)'!$I$44:$I$93,'Revised PEF - After conversion'!A21,'Old PEF (For student''s input)'!$D$44:$D$93)</f>
        <v>0</v>
      </c>
      <c r="K21" s="360">
        <f>SUMIF('Old PEF (For student''s input)'!$I$6:$I$37,'Revised PEF - After conversion'!A21,'Old PEF (For student''s input)'!$E$6:$E$37)+SUMIF('Old PEF (For student''s input)'!$I$44:$I$93,'Revised PEF - After conversion'!A21,'Old PEF (For student''s input)'!$E$44:$E$93)</f>
        <v>0</v>
      </c>
      <c r="L21" s="360">
        <f>SUMIF('Old PEF (For student''s input)'!$I$6:$I$37,'Revised PEF - After conversion'!A21,'Old PEF (For student''s input)'!$F$6:$F$37)+SUMIF('Old PEF (For student''s input)'!$I$44:$I$93,'Revised PEF - After conversion'!A21,'Old PEF (For student''s input)'!$F$44:$F$93)</f>
        <v>0</v>
      </c>
      <c r="M21" s="360">
        <f>SUMIF('Old PEF (For student''s input)'!$I$6:$I$37,'Revised PEF - After conversion'!A21,'Old PEF (For student''s input)'!$G$6:$G$37)+SUMIF('Old PEF (For student''s input)'!$I$44:$I$93,'Revised PEF - After conversion'!A21,'Old PEF (For student''s input)'!$G$44:$G$93)</f>
        <v>0</v>
      </c>
    </row>
    <row r="22" spans="1:13" s="302" customFormat="1" ht="30" customHeight="1">
      <c r="A22" s="358" t="s">
        <v>80</v>
      </c>
      <c r="B22" s="359" t="s">
        <v>81</v>
      </c>
      <c r="C22" s="360">
        <f>ROUND((SUMIF('Old PEF (For student''s input)'!$I$6:$I$37,A22,'Old PEF (For student''s input)'!$H$6:$H$37))*1,0)</f>
        <v>0</v>
      </c>
      <c r="D22" s="361">
        <f>ROUND((SUMIF('Old PEF (For student''s input)'!$I$44:$I$93,A22,'Old PEF (For student''s input)'!$H$44:$H$93))*1,0)</f>
        <v>0</v>
      </c>
      <c r="E22" s="357">
        <f>SUM(C22:D22)</f>
        <v>0</v>
      </c>
      <c r="F22" s="362" t="str">
        <f t="shared" si="6"/>
        <v>No</v>
      </c>
      <c r="G22" s="401" t="str">
        <f t="shared" si="7"/>
        <v/>
      </c>
      <c r="I22" s="360">
        <f>SUMIF('Old PEF (For student''s input)'!$I$6:$I$37,'Revised PEF - After conversion'!A22,'Old PEF (For student''s input)'!$C$6:$C$37)+SUMIF('Old PEF (For student''s input)'!$I$44:$I$93,'Revised PEF - After conversion'!A22,'Old PEF (For student''s input)'!$C$44:$C$93)</f>
        <v>0</v>
      </c>
      <c r="J22" s="360">
        <f>SUMIF('Old PEF (For student''s input)'!$I$6:$I$37,'Revised PEF - After conversion'!A22,'Old PEF (For student''s input)'!$D$6:$D$37)+SUMIF('Old PEF (For student''s input)'!$I$44:$I$93,'Revised PEF - After conversion'!A22,'Old PEF (For student''s input)'!$D$44:$D$93)</f>
        <v>0</v>
      </c>
      <c r="K22" s="360">
        <f>SUMIF('Old PEF (For student''s input)'!$I$6:$I$37,'Revised PEF - After conversion'!A22,'Old PEF (For student''s input)'!$E$6:$E$37)+SUMIF('Old PEF (For student''s input)'!$I$44:$I$93,'Revised PEF - After conversion'!A22,'Old PEF (For student''s input)'!$E$44:$E$93)</f>
        <v>0</v>
      </c>
      <c r="L22" s="360">
        <f>SUMIF('Old PEF (For student''s input)'!$I$6:$I$37,'Revised PEF - After conversion'!A22,'Old PEF (For student''s input)'!$F$6:$F$37)+SUMIF('Old PEF (For student''s input)'!$I$44:$I$93,'Revised PEF - After conversion'!A22,'Old PEF (For student''s input)'!$F$44:$F$93)</f>
        <v>0</v>
      </c>
      <c r="M22" s="360">
        <f>SUMIF('Old PEF (For student''s input)'!$I$6:$I$37,'Revised PEF - After conversion'!A22,'Old PEF (For student''s input)'!$G$6:$G$37)+SUMIF('Old PEF (For student''s input)'!$I$44:$I$93,'Revised PEF - After conversion'!A22,'Old PEF (For student''s input)'!$G$44:$G$93)</f>
        <v>0</v>
      </c>
    </row>
    <row r="23" spans="1:13" s="302" customFormat="1" ht="30" customHeight="1">
      <c r="A23" s="352"/>
      <c r="B23" s="353"/>
      <c r="C23" s="353"/>
      <c r="D23" s="348"/>
      <c r="E23" s="36"/>
      <c r="F23" s="326"/>
      <c r="G23" s="348"/>
      <c r="I23" s="353"/>
      <c r="J23" s="353"/>
      <c r="K23" s="353"/>
      <c r="L23" s="353"/>
      <c r="M23" s="353"/>
    </row>
    <row r="24" spans="1:13" s="302" customFormat="1" ht="30" customHeight="1">
      <c r="A24" s="505" t="s">
        <v>380</v>
      </c>
      <c r="B24" s="505"/>
      <c r="C24" s="349"/>
      <c r="D24" s="350"/>
      <c r="E24" s="345"/>
      <c r="F24" s="351"/>
      <c r="G24" s="350"/>
      <c r="I24" s="349"/>
      <c r="J24" s="349"/>
      <c r="K24" s="349"/>
      <c r="L24" s="349"/>
      <c r="M24" s="349"/>
    </row>
    <row r="25" spans="1:13" s="302" customFormat="1" ht="30" customHeight="1">
      <c r="A25" s="358" t="s">
        <v>84</v>
      </c>
      <c r="B25" s="359" t="s">
        <v>87</v>
      </c>
      <c r="C25" s="360">
        <f>ROUND((SUMIF('Old PEF (For student''s input)'!$I$6:$I$37,A25,'Old PEF (For student''s input)'!$H$6:$H$37))*1,0)</f>
        <v>0</v>
      </c>
      <c r="D25" s="361">
        <f>ROUND((SUMIF('Old PEF (For student''s input)'!$I$44:$I$93,A25,'Old PEF (For student''s input)'!$H$44:$H$93))*1,0)</f>
        <v>0</v>
      </c>
      <c r="E25" s="357">
        <f>SUM(C25:D25)</f>
        <v>0</v>
      </c>
      <c r="F25" s="362" t="str">
        <f t="shared" ref="F25:F27" si="8">IF(E25&gt;=75,"Yes","No")</f>
        <v>No</v>
      </c>
      <c r="G25" s="401" t="str">
        <f t="shared" ref="G25:G27" si="9">IF(E25&gt;0,MAX(0,75-E25),"")</f>
        <v/>
      </c>
      <c r="I25" s="360">
        <f>SUMIF('Old PEF (For student''s input)'!$I$6:$I$37,'Revised PEF - After conversion'!A25,'Old PEF (For student''s input)'!$C$6:$C$37)+SUMIF('Old PEF (For student''s input)'!$I$44:$I$93,'Revised PEF - After conversion'!A25,'Old PEF (For student''s input)'!$C$44:$C$93)</f>
        <v>0</v>
      </c>
      <c r="J25" s="360">
        <f>SUMIF('Old PEF (For student''s input)'!$I$6:$I$37,'Revised PEF - After conversion'!A25,'Old PEF (For student''s input)'!$D$6:$D$37)+SUMIF('Old PEF (For student''s input)'!$I$44:$I$93,'Revised PEF - After conversion'!A25,'Old PEF (For student''s input)'!$D$44:$D$93)</f>
        <v>0</v>
      </c>
      <c r="K25" s="360">
        <f>SUMIF('Old PEF (For student''s input)'!$I$6:$I$37,'Revised PEF - After conversion'!A25,'Old PEF (For student''s input)'!$E$6:$E$37)+SUMIF('Old PEF (For student''s input)'!$I$44:$I$93,'Revised PEF - After conversion'!A25,'Old PEF (For student''s input)'!$E$44:$E$93)</f>
        <v>0</v>
      </c>
      <c r="L25" s="360">
        <f>SUMIF('Old PEF (For student''s input)'!$I$6:$I$37,'Revised PEF - After conversion'!A25,'Old PEF (For student''s input)'!$F$6:$F$37)+SUMIF('Old PEF (For student''s input)'!$I$44:$I$93,'Revised PEF - After conversion'!A25,'Old PEF (For student''s input)'!$F$44:$F$93)</f>
        <v>0</v>
      </c>
      <c r="M25" s="360">
        <f>SUMIF('Old PEF (For student''s input)'!$I$6:$I$37,'Revised PEF - After conversion'!A25,'Old PEF (For student''s input)'!$G$6:$G$37)+SUMIF('Old PEF (For student''s input)'!$I$44:$I$93,'Revised PEF - After conversion'!A25,'Old PEF (For student''s input)'!$G$44:$G$93)</f>
        <v>0</v>
      </c>
    </row>
    <row r="26" spans="1:13" s="302" customFormat="1" ht="30" customHeight="1">
      <c r="A26" s="358" t="s">
        <v>85</v>
      </c>
      <c r="B26" s="359" t="s">
        <v>88</v>
      </c>
      <c r="C26" s="360">
        <f>ROUND((SUMIF('Old PEF (For student''s input)'!$I$6:$I$37,A26,'Old PEF (For student''s input)'!$H$6:$H$37))*1,0)</f>
        <v>0</v>
      </c>
      <c r="D26" s="361">
        <f>ROUND((SUMIF('Old PEF (For student''s input)'!$I$44:$I$93,A26,'Old PEF (For student''s input)'!$H$44:$H$93))*1,0)</f>
        <v>0</v>
      </c>
      <c r="E26" s="357">
        <f>SUM(C26:D26)</f>
        <v>0</v>
      </c>
      <c r="F26" s="362" t="str">
        <f t="shared" si="8"/>
        <v>No</v>
      </c>
      <c r="G26" s="401" t="str">
        <f t="shared" si="9"/>
        <v/>
      </c>
      <c r="I26" s="360">
        <f>SUMIF('Old PEF (For student''s input)'!$I$6:$I$37,'Revised PEF - After conversion'!A26,'Old PEF (For student''s input)'!$C$6:$C$37)+SUMIF('Old PEF (For student''s input)'!$I$44:$I$93,'Revised PEF - After conversion'!A26,'Old PEF (For student''s input)'!$C$44:$C$93)</f>
        <v>0</v>
      </c>
      <c r="J26" s="360">
        <f>SUMIF('Old PEF (For student''s input)'!$I$6:$I$37,'Revised PEF - After conversion'!A26,'Old PEF (For student''s input)'!$D$6:$D$37)+SUMIF('Old PEF (For student''s input)'!$I$44:$I$93,'Revised PEF - After conversion'!A26,'Old PEF (For student''s input)'!$D$44:$D$93)</f>
        <v>0</v>
      </c>
      <c r="K26" s="360">
        <f>SUMIF('Old PEF (For student''s input)'!$I$6:$I$37,'Revised PEF - After conversion'!A26,'Old PEF (For student''s input)'!$E$6:$E$37)+SUMIF('Old PEF (For student''s input)'!$I$44:$I$93,'Revised PEF - After conversion'!A26,'Old PEF (For student''s input)'!$E$44:$E$93)</f>
        <v>0</v>
      </c>
      <c r="L26" s="360">
        <f>SUMIF('Old PEF (For student''s input)'!$I$6:$I$37,'Revised PEF - After conversion'!A26,'Old PEF (For student''s input)'!$F$6:$F$37)+SUMIF('Old PEF (For student''s input)'!$I$44:$I$93,'Revised PEF - After conversion'!A26,'Old PEF (For student''s input)'!$F$44:$F$93)</f>
        <v>0</v>
      </c>
      <c r="M26" s="360">
        <f>SUMIF('Old PEF (For student''s input)'!$I$6:$I$37,'Revised PEF - After conversion'!A26,'Old PEF (For student''s input)'!$G$6:$G$37)+SUMIF('Old PEF (For student''s input)'!$I$44:$I$93,'Revised PEF - After conversion'!A26,'Old PEF (For student''s input)'!$G$44:$G$93)</f>
        <v>0</v>
      </c>
    </row>
    <row r="27" spans="1:13" s="302" customFormat="1" ht="30" customHeight="1">
      <c r="A27" s="358" t="s">
        <v>86</v>
      </c>
      <c r="B27" s="359" t="s">
        <v>89</v>
      </c>
      <c r="C27" s="360">
        <f>ROUND((SUMIF('Old PEF (For student''s input)'!$I$6:$I$37,A27,'Old PEF (For student''s input)'!$H$6:$H$37))*1,0)</f>
        <v>0</v>
      </c>
      <c r="D27" s="361">
        <f>ROUND((SUMIF('Old PEF (For student''s input)'!$I$44:$I$93,A27,'Old PEF (For student''s input)'!$H$44:$H$93))*1,0)</f>
        <v>0</v>
      </c>
      <c r="E27" s="357">
        <f>SUM(C27:D27)</f>
        <v>0</v>
      </c>
      <c r="F27" s="362" t="str">
        <f t="shared" si="8"/>
        <v>No</v>
      </c>
      <c r="G27" s="401" t="str">
        <f t="shared" si="9"/>
        <v/>
      </c>
      <c r="I27" s="360">
        <f>SUMIF('Old PEF (For student''s input)'!$I$6:$I$37,'Revised PEF - After conversion'!A27,'Old PEF (For student''s input)'!$C$6:$C$37)+SUMIF('Old PEF (For student''s input)'!$I$44:$I$93,'Revised PEF - After conversion'!A27,'Old PEF (For student''s input)'!$C$44:$C$93)</f>
        <v>0</v>
      </c>
      <c r="J27" s="360">
        <f>SUMIF('Old PEF (For student''s input)'!$I$6:$I$37,'Revised PEF - After conversion'!A27,'Old PEF (For student''s input)'!$D$6:$D$37)+SUMIF('Old PEF (For student''s input)'!$I$44:$I$93,'Revised PEF - After conversion'!A27,'Old PEF (For student''s input)'!$D$44:$D$93)</f>
        <v>0</v>
      </c>
      <c r="K27" s="360">
        <f>SUMIF('Old PEF (For student''s input)'!$I$6:$I$37,'Revised PEF - After conversion'!A27,'Old PEF (For student''s input)'!$E$6:$E$37)+SUMIF('Old PEF (For student''s input)'!$I$44:$I$93,'Revised PEF - After conversion'!A27,'Old PEF (For student''s input)'!$E$44:$E$93)</f>
        <v>0</v>
      </c>
      <c r="L27" s="360">
        <f>SUMIF('Old PEF (For student''s input)'!$I$6:$I$37,'Revised PEF - After conversion'!A27,'Old PEF (For student''s input)'!$F$6:$F$37)+SUMIF('Old PEF (For student''s input)'!$I$44:$I$93,'Revised PEF - After conversion'!A27,'Old PEF (For student''s input)'!$F$44:$F$93)</f>
        <v>0</v>
      </c>
      <c r="M27" s="360">
        <f>SUMIF('Old PEF (For student''s input)'!$I$6:$I$37,'Revised PEF - After conversion'!A27,'Old PEF (For student''s input)'!$G$6:$G$37)+SUMIF('Old PEF (For student''s input)'!$I$44:$I$93,'Revised PEF - After conversion'!A27,'Old PEF (For student''s input)'!$G$44:$G$93)</f>
        <v>0</v>
      </c>
    </row>
    <row r="28" spans="1:13" s="302" customFormat="1" ht="30" customHeight="1">
      <c r="A28" s="301"/>
      <c r="B28" s="51"/>
      <c r="C28" s="51"/>
      <c r="D28" s="348"/>
      <c r="E28" s="36"/>
      <c r="F28" s="326"/>
      <c r="G28" s="348"/>
      <c r="I28" s="51"/>
      <c r="J28" s="51"/>
      <c r="K28" s="51"/>
      <c r="L28" s="51"/>
      <c r="M28" s="51"/>
    </row>
    <row r="29" spans="1:13" s="302" customFormat="1" ht="51" customHeight="1">
      <c r="A29" s="509" t="s">
        <v>701</v>
      </c>
      <c r="B29" s="509"/>
      <c r="C29" s="349"/>
      <c r="D29" s="350"/>
      <c r="E29" s="345"/>
      <c r="F29" s="351"/>
      <c r="G29" s="350"/>
      <c r="I29" s="349"/>
      <c r="J29" s="349"/>
      <c r="K29" s="349"/>
      <c r="L29" s="349"/>
      <c r="M29" s="349"/>
    </row>
    <row r="30" spans="1:13" s="302" customFormat="1" ht="30" customHeight="1">
      <c r="A30" s="358" t="s">
        <v>29</v>
      </c>
      <c r="B30" s="359" t="s">
        <v>90</v>
      </c>
      <c r="C30" s="360">
        <f>ROUND((SUMIF('Old PEF (For student''s input)'!$I$6:$I$37,A30,'Old PEF (For student''s input)'!$H$6:$H$37))*1,0)</f>
        <v>0</v>
      </c>
      <c r="D30" s="361">
        <f>ROUND((SUMIF('Old PEF (For student''s input)'!$I$44:$I$93,A30,'Old PEF (For student''s input)'!$H$44:$H$93))*1,0)</f>
        <v>0</v>
      </c>
      <c r="E30" s="357">
        <f t="shared" ref="E30:E32" si="10">SUM(C30:D30)</f>
        <v>0</v>
      </c>
      <c r="F30" s="362" t="str">
        <f t="shared" ref="F30:F32" si="11">IF(E30&gt;=75,"Yes","No")</f>
        <v>No</v>
      </c>
      <c r="G30" s="401" t="str">
        <f t="shared" ref="G30:G31" si="12">IF(E30&gt;0,MAX(0,75-E30),"")</f>
        <v/>
      </c>
      <c r="I30" s="360">
        <f>SUMIF('Old PEF (For student''s input)'!$I$6:$I$37,'Revised PEF - After conversion'!A30,'Old PEF (For student''s input)'!$C$6:$C$37)+SUMIF('Old PEF (For student''s input)'!$I$44:$I$93,'Revised PEF - After conversion'!A30,'Old PEF (For student''s input)'!$C$44:$C$93)</f>
        <v>0</v>
      </c>
      <c r="J30" s="360">
        <f>SUMIF('Old PEF (For student''s input)'!$I$6:$I$37,'Revised PEF - After conversion'!A30,'Old PEF (For student''s input)'!$D$6:$D$37)+SUMIF('Old PEF (For student''s input)'!$I$44:$I$93,'Revised PEF - After conversion'!A30,'Old PEF (For student''s input)'!$D$44:$D$93)</f>
        <v>0</v>
      </c>
      <c r="K30" s="360">
        <f>SUMIF('Old PEF (For student''s input)'!$I$6:$I$37,'Revised PEF - After conversion'!A30,'Old PEF (For student''s input)'!$E$6:$E$37)+SUMIF('Old PEF (For student''s input)'!$I$44:$I$93,'Revised PEF - After conversion'!A30,'Old PEF (For student''s input)'!$E$44:$E$93)</f>
        <v>0</v>
      </c>
      <c r="L30" s="360">
        <f>SUMIF('Old PEF (For student''s input)'!$I$6:$I$37,'Revised PEF - After conversion'!A30,'Old PEF (For student''s input)'!$F$6:$F$37)+SUMIF('Old PEF (For student''s input)'!$I$44:$I$93,'Revised PEF - After conversion'!A30,'Old PEF (For student''s input)'!$F$44:$F$93)</f>
        <v>0</v>
      </c>
      <c r="M30" s="360">
        <f>SUMIF('Old PEF (For student''s input)'!$I$6:$I$37,'Revised PEF - After conversion'!A30,'Old PEF (For student''s input)'!$G$6:$G$37)+SUMIF('Old PEF (For student''s input)'!$I$44:$I$93,'Revised PEF - After conversion'!A30,'Old PEF (For student''s input)'!$G$44:$G$93)</f>
        <v>0</v>
      </c>
    </row>
    <row r="31" spans="1:13" s="302" customFormat="1" ht="30" customHeight="1">
      <c r="A31" s="358" t="s">
        <v>82</v>
      </c>
      <c r="B31" s="359" t="s">
        <v>91</v>
      </c>
      <c r="C31" s="360">
        <f>ROUND((SUMIF('Old PEF (For student''s input)'!$I$6:$I$37,A31,'Old PEF (For student''s input)'!$H$6:$H$37))*1,0)</f>
        <v>0</v>
      </c>
      <c r="D31" s="361">
        <f>ROUND((SUMIF('Old PEF (For student''s input)'!$I$44:$I$93,A31,'Old PEF (For student''s input)'!$H$44:$H$93))*1,0)</f>
        <v>0</v>
      </c>
      <c r="E31" s="357">
        <f t="shared" si="10"/>
        <v>0</v>
      </c>
      <c r="F31" s="362" t="str">
        <f t="shared" si="11"/>
        <v>No</v>
      </c>
      <c r="G31" s="401" t="str">
        <f t="shared" si="12"/>
        <v/>
      </c>
      <c r="I31" s="360">
        <f>SUMIF('Old PEF (For student''s input)'!$I$6:$I$37,'Revised PEF - After conversion'!A31,'Old PEF (For student''s input)'!$C$6:$C$37)+SUMIF('Old PEF (For student''s input)'!$I$44:$I$93,'Revised PEF - After conversion'!A31,'Old PEF (For student''s input)'!$C$44:$C$93)</f>
        <v>0</v>
      </c>
      <c r="J31" s="360">
        <f>SUMIF('Old PEF (For student''s input)'!$I$6:$I$37,'Revised PEF - After conversion'!A31,'Old PEF (For student''s input)'!$D$6:$D$37)+SUMIF('Old PEF (For student''s input)'!$I$44:$I$93,'Revised PEF - After conversion'!A31,'Old PEF (For student''s input)'!$D$44:$D$93)</f>
        <v>0</v>
      </c>
      <c r="K31" s="360">
        <f>SUMIF('Old PEF (For student''s input)'!$I$6:$I$37,'Revised PEF - After conversion'!A31,'Old PEF (For student''s input)'!$E$6:$E$37)+SUMIF('Old PEF (For student''s input)'!$I$44:$I$93,'Revised PEF - After conversion'!A31,'Old PEF (For student''s input)'!$E$44:$E$93)</f>
        <v>0</v>
      </c>
      <c r="L31" s="360">
        <f>SUMIF('Old PEF (For student''s input)'!$I$6:$I$37,'Revised PEF - After conversion'!A31,'Old PEF (For student''s input)'!$F$6:$F$37)+SUMIF('Old PEF (For student''s input)'!$I$44:$I$93,'Revised PEF - After conversion'!A31,'Old PEF (For student''s input)'!$F$44:$F$93)</f>
        <v>0</v>
      </c>
      <c r="M31" s="360">
        <f>SUMIF('Old PEF (For student''s input)'!$I$6:$I$37,'Revised PEF - After conversion'!A31,'Old PEF (For student''s input)'!$G$6:$G$37)+SUMIF('Old PEF (For student''s input)'!$I$44:$I$93,'Revised PEF - After conversion'!A31,'Old PEF (For student''s input)'!$G$44:$G$93)</f>
        <v>0</v>
      </c>
    </row>
    <row r="32" spans="1:13" s="302" customFormat="1" ht="30" customHeight="1">
      <c r="A32" s="358" t="s">
        <v>92</v>
      </c>
      <c r="B32" s="359" t="s">
        <v>93</v>
      </c>
      <c r="C32" s="360">
        <f>ROUND((SUMIF('Old PEF (For student''s input)'!$I$6:$I$37,A32,'Old PEF (For student''s input)'!$H$6:$H$37))*1,0)</f>
        <v>0</v>
      </c>
      <c r="D32" s="361">
        <f>ROUND((SUMIF('Old PEF (For student''s input)'!$I$44:$I$93,A32,'Old PEF (For student''s input)'!$H$44:$H$93))*1,0)</f>
        <v>0</v>
      </c>
      <c r="E32" s="357">
        <f t="shared" si="10"/>
        <v>0</v>
      </c>
      <c r="F32" s="362" t="str">
        <f t="shared" si="11"/>
        <v>No</v>
      </c>
      <c r="G32" s="401" t="str">
        <f>IF(E32&gt;0,MAX(0,75-E32),"")</f>
        <v/>
      </c>
      <c r="I32" s="360">
        <f>SUMIF('Old PEF (For student''s input)'!$I$6:$I$37,'Revised PEF - After conversion'!A32,'Old PEF (For student''s input)'!$C$6:$C$37)+SUMIF('Old PEF (For student''s input)'!$I$44:$I$93,'Revised PEF - After conversion'!A32,'Old PEF (For student''s input)'!$C$44:$C$93)</f>
        <v>0</v>
      </c>
      <c r="J32" s="360">
        <f>SUMIF('Old PEF (For student''s input)'!$I$6:$I$37,'Revised PEF - After conversion'!A32,'Old PEF (For student''s input)'!$D$6:$D$37)+SUMIF('Old PEF (For student''s input)'!$I$44:$I$93,'Revised PEF - After conversion'!A32,'Old PEF (For student''s input)'!$D$44:$D$93)</f>
        <v>0</v>
      </c>
      <c r="K32" s="360">
        <f>SUMIF('Old PEF (For student''s input)'!$I$6:$I$37,'Revised PEF - After conversion'!A32,'Old PEF (For student''s input)'!$E$6:$E$37)+SUMIF('Old PEF (For student''s input)'!$I$44:$I$93,'Revised PEF - After conversion'!A32,'Old PEF (For student''s input)'!$E$44:$E$93)</f>
        <v>0</v>
      </c>
      <c r="L32" s="360">
        <f>SUMIF('Old PEF (For student''s input)'!$I$6:$I$37,'Revised PEF - After conversion'!A32,'Old PEF (For student''s input)'!$F$6:$F$37)+SUMIF('Old PEF (For student''s input)'!$I$44:$I$93,'Revised PEF - After conversion'!A32,'Old PEF (For student''s input)'!$F$44:$F$93)</f>
        <v>0</v>
      </c>
      <c r="M32" s="360">
        <f>SUMIF('Old PEF (For student''s input)'!$I$6:$I$37,'Revised PEF - After conversion'!A32,'Old PEF (For student''s input)'!$G$6:$G$37)+SUMIF('Old PEF (For student''s input)'!$I$44:$I$93,'Revised PEF - After conversion'!A32,'Old PEF (For student''s input)'!$G$44:$G$93)</f>
        <v>0</v>
      </c>
    </row>
    <row r="33" spans="1:7" s="302" customFormat="1" ht="30" customHeight="1">
      <c r="A33" s="352"/>
      <c r="B33" s="353"/>
      <c r="C33" s="353"/>
      <c r="D33" s="36"/>
      <c r="E33" s="36"/>
      <c r="F33" s="348"/>
      <c r="G33" s="36"/>
    </row>
    <row r="34" spans="1:7" s="302" customFormat="1" ht="30" customHeight="1">
      <c r="A34" s="355"/>
      <c r="B34" s="355"/>
      <c r="C34" s="36"/>
      <c r="D34" s="356"/>
      <c r="E34" s="356"/>
      <c r="F34" s="506" t="s">
        <v>547</v>
      </c>
      <c r="G34" s="507"/>
    </row>
    <row r="35" spans="1:7" s="302" customFormat="1" ht="30" customHeight="1">
      <c r="A35" s="508" t="s">
        <v>648</v>
      </c>
      <c r="B35" s="508"/>
      <c r="C35" s="357" t="s">
        <v>392</v>
      </c>
      <c r="D35" s="357" t="s">
        <v>393</v>
      </c>
      <c r="E35" s="357" t="s">
        <v>394</v>
      </c>
      <c r="F35" s="357" t="s">
        <v>395</v>
      </c>
      <c r="G35" s="357" t="s">
        <v>396</v>
      </c>
    </row>
    <row r="36" spans="1:7" s="302" customFormat="1" ht="30" customHeight="1">
      <c r="A36" s="477" t="s">
        <v>698</v>
      </c>
      <c r="B36" s="477"/>
      <c r="C36" s="357">
        <f>'Old PEF (For student''s input)'!C96</f>
        <v>0</v>
      </c>
      <c r="D36" s="357">
        <f>'Old PEF (For student''s input)'!D96</f>
        <v>0</v>
      </c>
      <c r="E36" s="357">
        <f>'Old PEF (For student''s input)'!E96</f>
        <v>0</v>
      </c>
      <c r="F36" s="357">
        <f>'Old PEF (For student''s input)'!F96</f>
        <v>0</v>
      </c>
      <c r="G36" s="357">
        <f>'Old PEF (For student''s input)'!G96</f>
        <v>0</v>
      </c>
    </row>
    <row r="37" spans="1:7" s="302" customFormat="1" ht="30" customHeight="1">
      <c r="A37" s="477" t="s">
        <v>699</v>
      </c>
      <c r="B37" s="477"/>
      <c r="C37" s="357">
        <v>130</v>
      </c>
      <c r="D37" s="357">
        <v>130</v>
      </c>
      <c r="E37" s="357">
        <v>130</v>
      </c>
      <c r="F37" s="357">
        <v>130</v>
      </c>
      <c r="G37" s="357">
        <v>130</v>
      </c>
    </row>
    <row r="38" spans="1:7" s="302" customFormat="1" ht="30" customHeight="1" thickBot="1">
      <c r="A38" s="502" t="s">
        <v>697</v>
      </c>
      <c r="B38" s="502"/>
      <c r="C38" s="364">
        <f>IF(C36&gt;C37,0,-(C36-C37))</f>
        <v>130</v>
      </c>
      <c r="D38" s="364">
        <f t="shared" ref="D38:G38" si="13">IF(D36&gt;D37,0,-(D36-D37))</f>
        <v>130</v>
      </c>
      <c r="E38" s="364">
        <f t="shared" si="13"/>
        <v>130</v>
      </c>
      <c r="F38" s="364">
        <f t="shared" si="13"/>
        <v>130</v>
      </c>
      <c r="G38" s="364">
        <f t="shared" si="13"/>
        <v>130</v>
      </c>
    </row>
    <row r="39" spans="1:7" s="302" customFormat="1" ht="30" customHeight="1" thickTop="1">
      <c r="A39" s="51"/>
      <c r="B39" s="329"/>
      <c r="C39" s="329"/>
      <c r="D39" s="329"/>
      <c r="E39" s="329"/>
      <c r="F39" s="329"/>
      <c r="G39" s="329"/>
    </row>
    <row r="40" spans="1:7" s="302" customFormat="1" ht="30" customHeight="1">
      <c r="A40" s="51"/>
      <c r="B40" s="51"/>
      <c r="C40" s="510" t="s">
        <v>453</v>
      </c>
      <c r="D40" s="511"/>
      <c r="E40" s="512"/>
      <c r="F40" s="329"/>
      <c r="G40" s="36"/>
    </row>
    <row r="41" spans="1:7" s="302" customFormat="1" ht="56.25" customHeight="1">
      <c r="A41" s="477" t="s">
        <v>703</v>
      </c>
      <c r="B41" s="477"/>
      <c r="C41" s="513">
        <f>SUMIF(F5:F32,"Yes",D5:D32)</f>
        <v>0</v>
      </c>
      <c r="D41" s="514"/>
      <c r="E41" s="515"/>
      <c r="F41" s="329"/>
      <c r="G41" s="36"/>
    </row>
    <row r="42" spans="1:7" s="302" customFormat="1" ht="50.25" customHeight="1">
      <c r="A42" s="477" t="s">
        <v>704</v>
      </c>
      <c r="B42" s="477"/>
      <c r="C42" s="513">
        <v>250</v>
      </c>
      <c r="D42" s="514"/>
      <c r="E42" s="515"/>
      <c r="F42" s="329"/>
      <c r="G42" s="36"/>
    </row>
    <row r="43" spans="1:7" s="302" customFormat="1" ht="56.25" customHeight="1" thickBot="1">
      <c r="A43" s="502" t="s">
        <v>707</v>
      </c>
      <c r="B43" s="502"/>
      <c r="C43" s="516">
        <f>IF(C41&gt;C42,0,-(C41-C42))</f>
        <v>250</v>
      </c>
      <c r="D43" s="516"/>
      <c r="E43" s="516"/>
      <c r="F43" s="329"/>
      <c r="G43" s="36"/>
    </row>
    <row r="44" spans="1:7" ht="30" customHeight="1" thickTop="1">
      <c r="A44" s="51"/>
      <c r="B44" s="51"/>
      <c r="C44" s="51"/>
      <c r="D44" s="329"/>
      <c r="E44" s="329"/>
      <c r="F44" s="329"/>
      <c r="G44" s="36"/>
    </row>
    <row r="45" spans="1:7" s="302" customFormat="1" ht="30" customHeight="1">
      <c r="A45" s="51"/>
      <c r="B45" s="51"/>
      <c r="C45" s="51"/>
      <c r="D45" s="329"/>
      <c r="E45" s="329"/>
      <c r="F45" s="329"/>
      <c r="G45" s="36"/>
    </row>
    <row r="46" spans="1:7" s="302" customFormat="1" ht="30" customHeight="1">
      <c r="A46" s="36" t="s">
        <v>708</v>
      </c>
      <c r="B46" s="51"/>
      <c r="C46" s="51"/>
      <c r="D46" s="329"/>
      <c r="E46" s="329"/>
      <c r="F46" s="329"/>
      <c r="G46" s="36"/>
    </row>
    <row r="47" spans="1:7" s="302" customFormat="1" ht="30" customHeight="1">
      <c r="A47" s="51"/>
      <c r="B47" s="51"/>
      <c r="C47" s="51"/>
      <c r="D47" s="329"/>
      <c r="E47" s="329"/>
      <c r="F47" s="329"/>
      <c r="G47" s="36"/>
    </row>
    <row r="48" spans="1:7" s="302" customFormat="1" ht="30" customHeight="1">
      <c r="A48" s="503" t="s">
        <v>631</v>
      </c>
      <c r="B48" s="503"/>
      <c r="C48" s="399" t="s">
        <v>620</v>
      </c>
      <c r="D48" s="329"/>
      <c r="E48" s="329"/>
      <c r="F48" s="329"/>
      <c r="G48" s="36"/>
    </row>
    <row r="49" spans="1:7" s="302" customFormat="1" ht="30" customHeight="1">
      <c r="A49" s="358" t="s">
        <v>533</v>
      </c>
      <c r="B49" s="359" t="s">
        <v>536</v>
      </c>
      <c r="C49" s="400" t="str">
        <f>'Old PEF (For student''s input)'!H102</f>
        <v>Not achieved</v>
      </c>
      <c r="D49" s="329"/>
      <c r="E49" s="329"/>
      <c r="F49" s="329"/>
      <c r="G49" s="36"/>
    </row>
    <row r="50" spans="1:7" s="302" customFormat="1" ht="30" customHeight="1">
      <c r="A50" s="358" t="s">
        <v>534</v>
      </c>
      <c r="B50" s="359" t="s">
        <v>537</v>
      </c>
      <c r="C50" s="400" t="str">
        <f>'Old PEF (For student''s input)'!H111</f>
        <v>Not achieved</v>
      </c>
      <c r="D50" s="329"/>
      <c r="E50" s="329"/>
      <c r="F50" s="329"/>
      <c r="G50" s="36"/>
    </row>
    <row r="51" spans="1:7" s="302" customFormat="1" ht="30" customHeight="1">
      <c r="A51" s="358" t="s">
        <v>535</v>
      </c>
      <c r="B51" s="359" t="s">
        <v>633</v>
      </c>
      <c r="C51" s="400" t="str">
        <f>'Old PEF (For student''s input)'!H111</f>
        <v>Not achieved</v>
      </c>
      <c r="D51" s="329"/>
      <c r="E51" s="329"/>
      <c r="F51" s="329"/>
      <c r="G51" s="36"/>
    </row>
    <row r="52" spans="1:7" s="302" customFormat="1" ht="30" customHeight="1">
      <c r="A52" s="301"/>
      <c r="B52" s="51"/>
      <c r="C52" s="329"/>
      <c r="D52" s="329"/>
      <c r="E52" s="329"/>
      <c r="F52" s="329"/>
      <c r="G52" s="36"/>
    </row>
    <row r="53" spans="1:7" s="302" customFormat="1" ht="30" customHeight="1">
      <c r="A53" s="504" t="s">
        <v>632</v>
      </c>
      <c r="B53" s="504"/>
      <c r="C53" s="329"/>
      <c r="D53" s="329"/>
      <c r="E53" s="329"/>
      <c r="F53" s="329"/>
      <c r="G53" s="36"/>
    </row>
    <row r="54" spans="1:7" s="302" customFormat="1" ht="30" customHeight="1">
      <c r="A54" s="358" t="s">
        <v>538</v>
      </c>
      <c r="B54" s="359" t="s">
        <v>539</v>
      </c>
      <c r="C54" s="400" t="str">
        <f>'Old PEF (For student''s input)'!H102</f>
        <v>Not achieved</v>
      </c>
      <c r="D54" s="329"/>
      <c r="E54" s="329"/>
      <c r="F54" s="329"/>
      <c r="G54" s="36"/>
    </row>
    <row r="55" spans="1:7" s="302" customFormat="1" ht="30" customHeight="1">
      <c r="A55" s="358" t="s">
        <v>540</v>
      </c>
      <c r="B55" s="359" t="s">
        <v>541</v>
      </c>
      <c r="C55" s="400" t="str">
        <f>'Old PEF (For student''s input)'!H105</f>
        <v>Not achieved</v>
      </c>
      <c r="D55" s="329"/>
      <c r="E55" s="329"/>
      <c r="F55" s="329"/>
      <c r="G55" s="36"/>
    </row>
    <row r="56" spans="1:7" s="302" customFormat="1" ht="30" customHeight="1">
      <c r="A56" s="358" t="s">
        <v>542</v>
      </c>
      <c r="B56" s="359" t="s">
        <v>662</v>
      </c>
      <c r="C56" s="400" t="str">
        <f>'Old PEF (For student''s input)'!H111</f>
        <v>Not achieved</v>
      </c>
      <c r="D56" s="329"/>
      <c r="E56" s="329"/>
      <c r="F56" s="329"/>
      <c r="G56" s="36"/>
    </row>
    <row r="57" spans="1:7" s="302" customFormat="1" ht="30" customHeight="1">
      <c r="A57" s="358" t="s">
        <v>543</v>
      </c>
      <c r="B57" s="359" t="s">
        <v>544</v>
      </c>
      <c r="C57" s="400" t="str">
        <f>'Old PEF (For student''s input)'!H114</f>
        <v>Not achieved</v>
      </c>
      <c r="D57" s="329"/>
      <c r="E57" s="329"/>
      <c r="F57" s="329"/>
      <c r="G57" s="36"/>
    </row>
    <row r="58" spans="1:7" s="302" customFormat="1" ht="30" customHeight="1">
      <c r="D58" s="303"/>
      <c r="E58" s="303"/>
      <c r="F58" s="303"/>
      <c r="G58" s="304"/>
    </row>
  </sheetData>
  <sheetProtection algorithmName="SHA-512" hashValue="Z4mZhQnMFz3wl0mNc+x/70bRDTimSG3chPY5hs064P2kpkOcf/4OXlhUe516/ETf4R130dcXeYSa+Y29QBLHUw==" saltValue="WzJkLSB2oVMfzPgwxpAoEw==" spinCount="100000" sheet="1" objects="1" scenarios="1"/>
  <mergeCells count="26">
    <mergeCell ref="C40:E40"/>
    <mergeCell ref="C41:E41"/>
    <mergeCell ref="C42:E42"/>
    <mergeCell ref="C43:E43"/>
    <mergeCell ref="C3:D3"/>
    <mergeCell ref="A4:B4"/>
    <mergeCell ref="F34:G34"/>
    <mergeCell ref="A35:B35"/>
    <mergeCell ref="A36:B36"/>
    <mergeCell ref="A37:B37"/>
    <mergeCell ref="A29:B29"/>
    <mergeCell ref="A24:B24"/>
    <mergeCell ref="A19:B19"/>
    <mergeCell ref="A14:B14"/>
    <mergeCell ref="A9:B9"/>
    <mergeCell ref="A38:B38"/>
    <mergeCell ref="A42:B42"/>
    <mergeCell ref="A43:B43"/>
    <mergeCell ref="A48:B48"/>
    <mergeCell ref="A53:B53"/>
    <mergeCell ref="A41:B41"/>
    <mergeCell ref="I2:M2"/>
    <mergeCell ref="I3:I4"/>
    <mergeCell ref="J3:J4"/>
    <mergeCell ref="K3:K4"/>
    <mergeCell ref="L3:M3"/>
  </mergeCells>
  <phoneticPr fontId="2" type="noConversion"/>
  <pageMargins left="0.46" right="0.45" top="0.64" bottom="0.44" header="0.36" footer="0.3"/>
  <pageSetup paperSize="9" scale="32" fitToHeight="0" orientation="portrait" horizontalDpi="300" verticalDpi="300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180"/>
  <sheetViews>
    <sheetView view="pageBreakPreview" topLeftCell="A167" zoomScaleNormal="60" zoomScaleSheetLayoutView="100" workbookViewId="0">
      <selection activeCell="B156" sqref="B155:C156"/>
    </sheetView>
  </sheetViews>
  <sheetFormatPr defaultColWidth="9" defaultRowHeight="15.75"/>
  <cols>
    <col min="1" max="1" width="23.5" style="1" customWidth="1"/>
    <col min="2" max="2" width="54.625" style="1" customWidth="1"/>
    <col min="3" max="3" width="16.125" style="1" customWidth="1"/>
    <col min="4" max="4" width="7.5" style="122" customWidth="1"/>
    <col min="5" max="8" width="7.5" style="122" bestFit="1" customWidth="1"/>
    <col min="9" max="9" width="7.875" style="122" hidden="1" customWidth="1"/>
    <col min="10" max="10" width="16.5" style="2" customWidth="1"/>
    <col min="11" max="11" width="0.5" style="1" hidden="1" customWidth="1"/>
    <col min="12" max="16384" width="9" style="1"/>
  </cols>
  <sheetData>
    <row r="1" spans="1:11" ht="42" customHeight="1">
      <c r="A1" s="451" t="s">
        <v>407</v>
      </c>
      <c r="B1" s="451"/>
      <c r="C1" s="451"/>
      <c r="D1" s="451"/>
      <c r="E1" s="451"/>
      <c r="F1" s="451"/>
      <c r="G1" s="451"/>
      <c r="H1" s="451"/>
      <c r="I1" s="451"/>
      <c r="J1" s="451"/>
    </row>
    <row r="3" spans="1:11" ht="21.75" customHeight="1">
      <c r="A3" s="2" t="s">
        <v>382</v>
      </c>
    </row>
    <row r="4" spans="1:11" ht="21.75" customHeight="1">
      <c r="A4" s="1" t="s">
        <v>475</v>
      </c>
    </row>
    <row r="5" spans="1:11" ht="37.5" customHeight="1">
      <c r="A5" s="427" t="s">
        <v>476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</row>
    <row r="6" spans="1:11" ht="22.5" customHeight="1">
      <c r="A6" s="427" t="s">
        <v>473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</row>
    <row r="7" spans="1:11" ht="35.25" hidden="1" customHeight="1">
      <c r="A7" s="427" t="s">
        <v>384</v>
      </c>
      <c r="B7" s="427"/>
      <c r="C7" s="427"/>
      <c r="D7" s="427"/>
      <c r="E7" s="427"/>
      <c r="F7" s="427"/>
      <c r="G7" s="427"/>
      <c r="H7" s="427"/>
      <c r="I7" s="427"/>
      <c r="J7" s="427"/>
    </row>
    <row r="8" spans="1:11" ht="34.5" customHeight="1">
      <c r="A8" s="427" t="s">
        <v>477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</row>
    <row r="9" spans="1:11" ht="22.5" customHeight="1">
      <c r="A9" s="427" t="s">
        <v>548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</row>
    <row r="10" spans="1:11" ht="22.5" customHeight="1">
      <c r="A10" s="427" t="s">
        <v>474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</row>
    <row r="11" spans="1:11" ht="22.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>
      <c r="A13" s="521" t="s">
        <v>471</v>
      </c>
      <c r="B13" s="522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>
      <c r="A21" s="178" t="s">
        <v>481</v>
      </c>
      <c r="B21" s="130"/>
      <c r="C21" s="130"/>
      <c r="D21" s="518" t="s">
        <v>357</v>
      </c>
      <c r="E21" s="518"/>
      <c r="F21" s="518"/>
      <c r="G21" s="518"/>
      <c r="H21" s="518"/>
      <c r="I21" s="523" t="s">
        <v>397</v>
      </c>
      <c r="J21" s="525" t="s">
        <v>359</v>
      </c>
    </row>
    <row r="22" spans="1:11" ht="18" customHeight="1">
      <c r="A22" s="178"/>
      <c r="B22" s="130"/>
      <c r="C22" s="130"/>
      <c r="D22" s="224"/>
      <c r="E22" s="224"/>
      <c r="F22" s="224"/>
      <c r="G22" s="528" t="s">
        <v>547</v>
      </c>
      <c r="H22" s="529"/>
      <c r="I22" s="523"/>
      <c r="J22" s="526"/>
    </row>
    <row r="23" spans="1:11">
      <c r="A23" s="137" t="s">
        <v>360</v>
      </c>
      <c r="B23" s="138"/>
      <c r="C23" s="137" t="s">
        <v>370</v>
      </c>
      <c r="D23" s="222" t="s">
        <v>392</v>
      </c>
      <c r="E23" s="222" t="s">
        <v>393</v>
      </c>
      <c r="F23" s="222" t="s">
        <v>394</v>
      </c>
      <c r="G23" s="256" t="s">
        <v>395</v>
      </c>
      <c r="H23" s="257" t="s">
        <v>396</v>
      </c>
      <c r="I23" s="524"/>
      <c r="J23" s="527"/>
      <c r="K23" s="123"/>
    </row>
    <row r="24" spans="1:11" ht="60">
      <c r="A24" s="139" t="s">
        <v>0</v>
      </c>
      <c r="B24" s="140" t="s">
        <v>374</v>
      </c>
      <c r="C24" s="141" t="s">
        <v>371</v>
      </c>
      <c r="D24" s="182">
        <v>80</v>
      </c>
      <c r="E24" s="182"/>
      <c r="F24" s="182"/>
      <c r="G24" s="182"/>
      <c r="H24" s="182"/>
      <c r="I24" s="182">
        <f>SUM(D24:H24)</f>
        <v>80</v>
      </c>
      <c r="J24" s="160" t="s">
        <v>27</v>
      </c>
      <c r="K24" s="6"/>
    </row>
    <row r="25" spans="1:11" ht="75">
      <c r="A25" s="142" t="s">
        <v>2</v>
      </c>
      <c r="B25" s="143" t="s">
        <v>30</v>
      </c>
      <c r="C25" s="144" t="s">
        <v>372</v>
      </c>
      <c r="D25" s="124">
        <v>50</v>
      </c>
      <c r="E25" s="124"/>
      <c r="F25" s="124"/>
      <c r="G25" s="124"/>
      <c r="H25" s="124"/>
      <c r="I25" s="182">
        <f t="shared" ref="I25:I28" si="0">SUM(D25:H25)</f>
        <v>50</v>
      </c>
      <c r="J25" s="160" t="s">
        <v>26</v>
      </c>
      <c r="K25" s="6"/>
    </row>
    <row r="26" spans="1:11">
      <c r="A26" s="142" t="s">
        <v>4</v>
      </c>
      <c r="B26" s="145" t="s">
        <v>31</v>
      </c>
      <c r="C26" s="141" t="s">
        <v>371</v>
      </c>
      <c r="D26" s="124">
        <v>20</v>
      </c>
      <c r="E26" s="124"/>
      <c r="F26" s="124"/>
      <c r="G26" s="124"/>
      <c r="H26" s="124"/>
      <c r="I26" s="182">
        <f t="shared" si="0"/>
        <v>20</v>
      </c>
      <c r="J26" s="160" t="s">
        <v>27</v>
      </c>
      <c r="K26" s="6"/>
    </row>
    <row r="27" spans="1:11" ht="45">
      <c r="A27" s="142" t="s">
        <v>6</v>
      </c>
      <c r="B27" s="143" t="s">
        <v>32</v>
      </c>
      <c r="C27" s="141" t="s">
        <v>371</v>
      </c>
      <c r="D27" s="124">
        <v>39</v>
      </c>
      <c r="E27" s="124"/>
      <c r="F27" s="124"/>
      <c r="G27" s="124"/>
      <c r="H27" s="124"/>
      <c r="I27" s="182">
        <f t="shared" si="0"/>
        <v>39</v>
      </c>
      <c r="J27" s="160" t="s">
        <v>28</v>
      </c>
      <c r="K27" s="121"/>
    </row>
    <row r="28" spans="1:11" ht="15" hidden="1">
      <c r="A28" s="142" t="s">
        <v>373</v>
      </c>
      <c r="B28" s="127" t="s">
        <v>361</v>
      </c>
      <c r="C28" s="128" t="s">
        <v>361</v>
      </c>
      <c r="D28" s="125"/>
      <c r="E28" s="125"/>
      <c r="F28" s="125"/>
      <c r="G28" s="125"/>
      <c r="H28" s="125"/>
      <c r="I28" s="182">
        <f t="shared" si="0"/>
        <v>0</v>
      </c>
      <c r="J28" s="125"/>
      <c r="K28" s="121"/>
    </row>
    <row r="29" spans="1:11">
      <c r="A29" s="146"/>
      <c r="B29" s="147"/>
      <c r="C29" s="148"/>
      <c r="D29" s="149"/>
      <c r="E29" s="149"/>
      <c r="F29" s="149"/>
      <c r="G29" s="149"/>
      <c r="H29" s="149"/>
      <c r="I29" s="149"/>
      <c r="J29" s="150"/>
      <c r="K29" s="121"/>
    </row>
    <row r="30" spans="1:11">
      <c r="A30" s="151" t="s">
        <v>164</v>
      </c>
      <c r="B30" s="152"/>
      <c r="C30" s="152"/>
      <c r="D30" s="153"/>
      <c r="E30" s="153"/>
      <c r="F30" s="153"/>
      <c r="G30" s="153"/>
      <c r="H30" s="153"/>
      <c r="I30" s="153"/>
      <c r="J30" s="224"/>
      <c r="K30" s="121"/>
    </row>
    <row r="31" spans="1:11">
      <c r="A31" s="142" t="s">
        <v>0</v>
      </c>
      <c r="B31" s="145" t="s">
        <v>33</v>
      </c>
      <c r="C31" s="144" t="s">
        <v>371</v>
      </c>
      <c r="D31" s="125"/>
      <c r="E31" s="125"/>
      <c r="F31" s="125"/>
      <c r="G31" s="125"/>
      <c r="H31" s="125"/>
      <c r="I31" s="182">
        <f t="shared" ref="I31:I35" si="1">SUM(D31:H31)</f>
        <v>0</v>
      </c>
      <c r="J31" s="160" t="s">
        <v>358</v>
      </c>
      <c r="K31" s="121"/>
    </row>
    <row r="32" spans="1:11">
      <c r="A32" s="142" t="s">
        <v>2</v>
      </c>
      <c r="B32" s="145" t="s">
        <v>34</v>
      </c>
      <c r="C32" s="144" t="s">
        <v>372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26</v>
      </c>
    </row>
    <row r="33" spans="1:11">
      <c r="A33" s="142" t="s">
        <v>3</v>
      </c>
      <c r="B33" s="145" t="s">
        <v>31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27</v>
      </c>
    </row>
    <row r="34" spans="1:11">
      <c r="A34" s="142" t="s">
        <v>5</v>
      </c>
      <c r="B34" s="145" t="s">
        <v>35</v>
      </c>
      <c r="C34" s="144" t="s">
        <v>371</v>
      </c>
      <c r="D34" s="125"/>
      <c r="E34" s="125"/>
      <c r="F34" s="125"/>
      <c r="G34" s="125"/>
      <c r="H34" s="125"/>
      <c r="I34" s="182">
        <f t="shared" si="1"/>
        <v>0</v>
      </c>
      <c r="J34" s="160" t="s">
        <v>28</v>
      </c>
      <c r="K34" s="6"/>
    </row>
    <row r="35" spans="1:11" ht="15" hidden="1">
      <c r="A35" s="142" t="s">
        <v>373</v>
      </c>
      <c r="B35" s="127" t="s">
        <v>361</v>
      </c>
      <c r="C35" s="128" t="s">
        <v>361</v>
      </c>
      <c r="D35" s="125"/>
      <c r="E35" s="125"/>
      <c r="F35" s="125"/>
      <c r="G35" s="125"/>
      <c r="H35" s="125"/>
      <c r="I35" s="182">
        <f t="shared" si="1"/>
        <v>0</v>
      </c>
      <c r="J35" s="125"/>
      <c r="K35" s="6"/>
    </row>
    <row r="36" spans="1:11" ht="15">
      <c r="A36" s="146"/>
      <c r="B36" s="146"/>
      <c r="C36" s="146"/>
      <c r="D36" s="154"/>
      <c r="E36" s="154"/>
      <c r="F36" s="154"/>
      <c r="G36" s="154"/>
      <c r="H36" s="154"/>
      <c r="I36" s="154"/>
      <c r="J36" s="146"/>
      <c r="K36" s="6"/>
    </row>
    <row r="37" spans="1:11">
      <c r="A37" s="151" t="s">
        <v>165</v>
      </c>
      <c r="B37" s="147"/>
      <c r="C37" s="148"/>
      <c r="D37" s="149"/>
      <c r="E37" s="149"/>
      <c r="F37" s="149"/>
      <c r="G37" s="149"/>
      <c r="H37" s="149"/>
      <c r="I37" s="149"/>
      <c r="J37" s="150"/>
      <c r="K37" s="6"/>
    </row>
    <row r="38" spans="1:11">
      <c r="A38" s="142" t="s">
        <v>0</v>
      </c>
      <c r="B38" s="145" t="s">
        <v>36</v>
      </c>
      <c r="C38" s="144" t="s">
        <v>372</v>
      </c>
      <c r="D38" s="125"/>
      <c r="E38" s="125"/>
      <c r="F38" s="125"/>
      <c r="G38" s="125"/>
      <c r="H38" s="125"/>
      <c r="I38" s="182">
        <f t="shared" ref="I38:I44" si="2">SUM(D38:H38)</f>
        <v>0</v>
      </c>
      <c r="J38" s="160" t="s">
        <v>14</v>
      </c>
    </row>
    <row r="39" spans="1:11">
      <c r="A39" s="142" t="s">
        <v>2</v>
      </c>
      <c r="B39" s="145" t="s">
        <v>37</v>
      </c>
      <c r="C39" s="144" t="s">
        <v>372</v>
      </c>
      <c r="D39" s="125"/>
      <c r="E39" s="125"/>
      <c r="F39" s="125"/>
      <c r="G39" s="125"/>
      <c r="H39" s="125"/>
      <c r="I39" s="182">
        <f t="shared" si="2"/>
        <v>0</v>
      </c>
      <c r="J39" s="160" t="s">
        <v>14</v>
      </c>
    </row>
    <row r="40" spans="1:11">
      <c r="A40" s="142" t="s">
        <v>4</v>
      </c>
      <c r="B40" s="145" t="s">
        <v>38</v>
      </c>
      <c r="C40" s="144" t="s">
        <v>371</v>
      </c>
      <c r="D40" s="125"/>
      <c r="E40" s="125"/>
      <c r="F40" s="125"/>
      <c r="G40" s="125"/>
      <c r="H40" s="125"/>
      <c r="I40" s="182">
        <f t="shared" si="2"/>
        <v>0</v>
      </c>
      <c r="J40" s="160" t="s">
        <v>16</v>
      </c>
    </row>
    <row r="41" spans="1:11">
      <c r="A41" s="142" t="s">
        <v>6</v>
      </c>
      <c r="B41" s="145" t="s">
        <v>39</v>
      </c>
      <c r="C41" s="144" t="s">
        <v>372</v>
      </c>
      <c r="D41" s="125"/>
      <c r="E41" s="125"/>
      <c r="F41" s="125"/>
      <c r="G41" s="125"/>
      <c r="H41" s="125"/>
      <c r="I41" s="182">
        <f t="shared" si="2"/>
        <v>0</v>
      </c>
      <c r="J41" s="160" t="s">
        <v>15</v>
      </c>
    </row>
    <row r="42" spans="1:11">
      <c r="A42" s="142" t="s">
        <v>8</v>
      </c>
      <c r="B42" s="145" t="s">
        <v>40</v>
      </c>
      <c r="C42" s="144" t="s">
        <v>372</v>
      </c>
      <c r="D42" s="125"/>
      <c r="E42" s="125"/>
      <c r="F42" s="125"/>
      <c r="G42" s="125"/>
      <c r="H42" s="125"/>
      <c r="I42" s="182">
        <f t="shared" si="2"/>
        <v>0</v>
      </c>
      <c r="J42" s="160" t="s">
        <v>16</v>
      </c>
    </row>
    <row r="43" spans="1:11">
      <c r="A43" s="142" t="s">
        <v>7</v>
      </c>
      <c r="B43" s="145" t="s">
        <v>41</v>
      </c>
      <c r="C43" s="144" t="s">
        <v>371</v>
      </c>
      <c r="D43" s="125"/>
      <c r="E43" s="125"/>
      <c r="F43" s="125"/>
      <c r="G43" s="125"/>
      <c r="H43" s="125"/>
      <c r="I43" s="182">
        <f t="shared" si="2"/>
        <v>0</v>
      </c>
      <c r="J43" s="160" t="s">
        <v>362</v>
      </c>
    </row>
    <row r="44" spans="1:11" ht="15" hidden="1">
      <c r="A44" s="142" t="s">
        <v>373</v>
      </c>
      <c r="B44" s="127" t="s">
        <v>361</v>
      </c>
      <c r="C44" s="128" t="s">
        <v>361</v>
      </c>
      <c r="D44" s="125"/>
      <c r="E44" s="125"/>
      <c r="F44" s="125"/>
      <c r="G44" s="125"/>
      <c r="H44" s="125"/>
      <c r="I44" s="182">
        <f t="shared" si="2"/>
        <v>0</v>
      </c>
      <c r="J44" s="125"/>
    </row>
    <row r="45" spans="1:11">
      <c r="A45" s="146"/>
      <c r="B45" s="147"/>
      <c r="C45" s="148"/>
      <c r="D45" s="149"/>
      <c r="E45" s="149"/>
      <c r="F45" s="149"/>
      <c r="G45" s="149"/>
      <c r="H45" s="149"/>
      <c r="I45" s="149"/>
      <c r="J45" s="150"/>
    </row>
    <row r="46" spans="1:11">
      <c r="A46" s="151" t="s">
        <v>166</v>
      </c>
      <c r="B46" s="130"/>
      <c r="C46" s="130"/>
      <c r="D46" s="131"/>
      <c r="E46" s="131"/>
      <c r="F46" s="131"/>
      <c r="G46" s="131"/>
      <c r="H46" s="131"/>
      <c r="I46" s="131"/>
      <c r="J46" s="155"/>
    </row>
    <row r="47" spans="1:11">
      <c r="A47" s="142" t="s">
        <v>0</v>
      </c>
      <c r="B47" s="145" t="s">
        <v>42</v>
      </c>
      <c r="C47" s="144" t="s">
        <v>371</v>
      </c>
      <c r="D47" s="125"/>
      <c r="E47" s="125">
        <v>40</v>
      </c>
      <c r="F47" s="125"/>
      <c r="G47" s="125"/>
      <c r="H47" s="125"/>
      <c r="I47" s="182">
        <f t="shared" ref="I47:I49" si="3">SUM(D47:H47)</f>
        <v>40</v>
      </c>
      <c r="J47" s="160" t="s">
        <v>80</v>
      </c>
    </row>
    <row r="48" spans="1:11">
      <c r="A48" s="142" t="s">
        <v>1</v>
      </c>
      <c r="B48" s="145" t="s">
        <v>43</v>
      </c>
      <c r="C48" s="144" t="s">
        <v>372</v>
      </c>
      <c r="D48" s="125"/>
      <c r="E48" s="125"/>
      <c r="F48" s="125"/>
      <c r="G48" s="125"/>
      <c r="H48" s="125"/>
      <c r="I48" s="182">
        <f t="shared" si="3"/>
        <v>0</v>
      </c>
      <c r="J48" s="160" t="s">
        <v>78</v>
      </c>
    </row>
    <row r="49" spans="1:10" ht="15" hidden="1">
      <c r="A49" s="142" t="s">
        <v>373</v>
      </c>
      <c r="B49" s="127" t="s">
        <v>361</v>
      </c>
      <c r="C49" s="128" t="s">
        <v>361</v>
      </c>
      <c r="D49" s="125"/>
      <c r="E49" s="125"/>
      <c r="F49" s="125"/>
      <c r="G49" s="125"/>
      <c r="H49" s="125"/>
      <c r="I49" s="182">
        <f t="shared" si="3"/>
        <v>0</v>
      </c>
      <c r="J49" s="125"/>
    </row>
    <row r="50" spans="1:10">
      <c r="A50" s="146"/>
      <c r="B50" s="147"/>
      <c r="C50" s="148"/>
      <c r="D50" s="149"/>
      <c r="E50" s="149"/>
      <c r="F50" s="149"/>
      <c r="G50" s="149"/>
      <c r="H50" s="149"/>
      <c r="I50" s="149"/>
      <c r="J50" s="150"/>
    </row>
    <row r="51" spans="1:10">
      <c r="A51" s="132" t="s">
        <v>167</v>
      </c>
      <c r="B51" s="130"/>
      <c r="C51" s="130"/>
      <c r="D51" s="131"/>
      <c r="E51" s="131"/>
      <c r="F51" s="131"/>
      <c r="G51" s="131"/>
      <c r="H51" s="131"/>
      <c r="I51" s="131"/>
      <c r="J51" s="155"/>
    </row>
    <row r="52" spans="1:10">
      <c r="A52" s="156" t="s">
        <v>364</v>
      </c>
      <c r="B52" s="157" t="s">
        <v>44</v>
      </c>
      <c r="C52" s="144" t="s">
        <v>372</v>
      </c>
      <c r="D52" s="126"/>
      <c r="E52" s="126"/>
      <c r="F52" s="126"/>
      <c r="G52" s="126"/>
      <c r="H52" s="126"/>
      <c r="I52" s="182">
        <f t="shared" ref="I52:I55" si="4">SUM(D52:H52)</f>
        <v>0</v>
      </c>
      <c r="J52" s="161" t="s">
        <v>365</v>
      </c>
    </row>
    <row r="53" spans="1:10">
      <c r="A53" s="156" t="s">
        <v>2</v>
      </c>
      <c r="B53" s="158" t="s">
        <v>363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366</v>
      </c>
    </row>
    <row r="54" spans="1:10">
      <c r="A54" s="156" t="s">
        <v>4</v>
      </c>
      <c r="B54" s="157" t="s">
        <v>45</v>
      </c>
      <c r="C54" s="144" t="s">
        <v>372</v>
      </c>
      <c r="D54" s="126"/>
      <c r="E54" s="126"/>
      <c r="F54" s="126"/>
      <c r="G54" s="126"/>
      <c r="H54" s="126"/>
      <c r="I54" s="182">
        <f t="shared" si="4"/>
        <v>0</v>
      </c>
      <c r="J54" s="161" t="s">
        <v>19</v>
      </c>
    </row>
    <row r="55" spans="1:10" ht="15" hidden="1">
      <c r="A55" s="142" t="s">
        <v>373</v>
      </c>
      <c r="B55" s="127" t="s">
        <v>361</v>
      </c>
      <c r="C55" s="128" t="s">
        <v>361</v>
      </c>
      <c r="D55" s="125"/>
      <c r="E55" s="125"/>
      <c r="F55" s="125"/>
      <c r="G55" s="125"/>
      <c r="H55" s="125"/>
      <c r="I55" s="182">
        <f t="shared" si="4"/>
        <v>0</v>
      </c>
      <c r="J55" s="125"/>
    </row>
    <row r="56" spans="1:10" ht="15">
      <c r="A56" s="146"/>
      <c r="B56" s="179"/>
      <c r="C56" s="180"/>
      <c r="D56" s="154"/>
      <c r="E56" s="154"/>
      <c r="F56" s="154"/>
      <c r="G56" s="154"/>
      <c r="H56" s="154"/>
      <c r="I56" s="154"/>
      <c r="J56" s="154"/>
    </row>
    <row r="57" spans="1:10" ht="15">
      <c r="A57" s="159" t="s">
        <v>383</v>
      </c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ht="8.25" customHeight="1">
      <c r="A58" s="159"/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ht="15">
      <c r="A59" s="194" t="s">
        <v>468</v>
      </c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ht="15">
      <c r="A60" s="159"/>
      <c r="B60" s="147"/>
      <c r="C60" s="148"/>
      <c r="D60" s="149"/>
      <c r="E60" s="149"/>
      <c r="F60" s="149"/>
      <c r="G60" s="149"/>
      <c r="H60" s="149"/>
      <c r="I60" s="149"/>
      <c r="J60" s="166"/>
    </row>
    <row r="61" spans="1:10" ht="15">
      <c r="A61" s="185"/>
      <c r="B61" s="186"/>
      <c r="C61" s="24"/>
      <c r="D61" s="187"/>
      <c r="E61" s="187"/>
      <c r="F61" s="187"/>
      <c r="G61" s="187"/>
      <c r="H61" s="187"/>
      <c r="I61" s="187"/>
      <c r="J61" s="5"/>
    </row>
    <row r="62" spans="1:10">
      <c r="A62" s="159"/>
      <c r="B62" s="147"/>
      <c r="C62" s="148"/>
      <c r="D62" s="149"/>
      <c r="E62" s="149"/>
      <c r="F62" s="149"/>
      <c r="G62" s="149"/>
      <c r="H62" s="149"/>
      <c r="I62" s="149"/>
      <c r="J62" s="150"/>
    </row>
    <row r="63" spans="1:10" ht="42.75" customHeight="1">
      <c r="A63" s="178" t="s">
        <v>482</v>
      </c>
      <c r="B63" s="147"/>
      <c r="C63" s="148"/>
      <c r="D63" s="518" t="s">
        <v>357</v>
      </c>
      <c r="E63" s="518"/>
      <c r="F63" s="518"/>
      <c r="G63" s="518"/>
      <c r="H63" s="518"/>
      <c r="I63" s="224"/>
      <c r="J63" s="519" t="s">
        <v>359</v>
      </c>
    </row>
    <row r="64" spans="1:10" ht="18">
      <c r="A64" s="178"/>
      <c r="B64" s="147"/>
      <c r="C64" s="148"/>
      <c r="D64" s="224"/>
      <c r="E64" s="224"/>
      <c r="F64" s="224"/>
      <c r="G64" s="528" t="s">
        <v>547</v>
      </c>
      <c r="H64" s="529"/>
      <c r="I64" s="224"/>
      <c r="J64" s="519"/>
    </row>
    <row r="65" spans="1:10">
      <c r="A65" s="151" t="s">
        <v>164</v>
      </c>
      <c r="B65" s="152"/>
      <c r="C65" s="137" t="s">
        <v>370</v>
      </c>
      <c r="D65" s="222" t="s">
        <v>392</v>
      </c>
      <c r="E65" s="222" t="s">
        <v>393</v>
      </c>
      <c r="F65" s="222" t="s">
        <v>394</v>
      </c>
      <c r="G65" s="258" t="s">
        <v>395</v>
      </c>
      <c r="H65" s="259" t="s">
        <v>396</v>
      </c>
      <c r="I65" s="222"/>
      <c r="J65" s="520"/>
    </row>
    <row r="66" spans="1:10">
      <c r="A66" s="142" t="s">
        <v>0</v>
      </c>
      <c r="B66" s="143" t="s">
        <v>33</v>
      </c>
      <c r="C66" s="144" t="s">
        <v>371</v>
      </c>
      <c r="D66" s="125"/>
      <c r="E66" s="125"/>
      <c r="F66" s="125"/>
      <c r="G66" s="125"/>
      <c r="H66" s="125"/>
      <c r="I66" s="182">
        <f t="shared" ref="I66:I70" si="5">SUM(D66:H66)</f>
        <v>0</v>
      </c>
      <c r="J66" s="160" t="s">
        <v>26</v>
      </c>
    </row>
    <row r="67" spans="1:10" ht="45">
      <c r="A67" s="142" t="s">
        <v>2</v>
      </c>
      <c r="B67" s="143" t="s">
        <v>367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27</v>
      </c>
    </row>
    <row r="68" spans="1:10" ht="30">
      <c r="A68" s="142" t="s">
        <v>3</v>
      </c>
      <c r="B68" s="143" t="s">
        <v>46</v>
      </c>
      <c r="C68" s="144" t="s">
        <v>371</v>
      </c>
      <c r="D68" s="125"/>
      <c r="E68" s="125"/>
      <c r="F68" s="125"/>
      <c r="G68" s="125"/>
      <c r="H68" s="125"/>
      <c r="I68" s="182">
        <f t="shared" si="5"/>
        <v>0</v>
      </c>
      <c r="J68" s="160" t="s">
        <v>26</v>
      </c>
    </row>
    <row r="69" spans="1:10" ht="30">
      <c r="A69" s="142" t="s">
        <v>5</v>
      </c>
      <c r="B69" s="143" t="s">
        <v>47</v>
      </c>
      <c r="C69" s="144" t="s">
        <v>371</v>
      </c>
      <c r="D69" s="125"/>
      <c r="E69" s="125"/>
      <c r="F69" s="125"/>
      <c r="G69" s="125"/>
      <c r="H69" s="125"/>
      <c r="I69" s="182">
        <f t="shared" si="5"/>
        <v>0</v>
      </c>
      <c r="J69" s="160" t="s">
        <v>28</v>
      </c>
    </row>
    <row r="70" spans="1:10" hidden="1">
      <c r="A70" s="142" t="s">
        <v>373</v>
      </c>
      <c r="B70" s="128" t="s">
        <v>361</v>
      </c>
      <c r="C70" s="128" t="s">
        <v>361</v>
      </c>
      <c r="D70" s="125"/>
      <c r="E70" s="125"/>
      <c r="F70" s="125"/>
      <c r="G70" s="125"/>
      <c r="H70" s="125"/>
      <c r="I70" s="182">
        <f t="shared" si="5"/>
        <v>0</v>
      </c>
      <c r="J70" s="162"/>
    </row>
    <row r="71" spans="1:10">
      <c r="A71" s="130"/>
      <c r="B71" s="147"/>
      <c r="C71" s="148"/>
      <c r="D71" s="149"/>
      <c r="E71" s="149"/>
      <c r="F71" s="149"/>
      <c r="G71" s="149"/>
      <c r="H71" s="149"/>
      <c r="I71" s="149"/>
      <c r="J71" s="150"/>
    </row>
    <row r="72" spans="1:10">
      <c r="A72" s="151" t="s">
        <v>165</v>
      </c>
      <c r="B72" s="147"/>
      <c r="C72" s="148"/>
      <c r="D72" s="149"/>
      <c r="E72" s="149"/>
      <c r="F72" s="149"/>
      <c r="G72" s="149"/>
      <c r="H72" s="149"/>
      <c r="I72" s="149"/>
      <c r="J72" s="150"/>
    </row>
    <row r="73" spans="1:10">
      <c r="A73" s="142" t="s">
        <v>0</v>
      </c>
      <c r="B73" s="143" t="s">
        <v>48</v>
      </c>
      <c r="C73" s="144" t="s">
        <v>372</v>
      </c>
      <c r="D73" s="125"/>
      <c r="E73" s="125"/>
      <c r="F73" s="125"/>
      <c r="G73" s="125"/>
      <c r="H73" s="125"/>
      <c r="I73" s="182">
        <f t="shared" ref="I73:I81" si="6">SUM(D73:H73)</f>
        <v>0</v>
      </c>
      <c r="J73" s="160" t="s">
        <v>14</v>
      </c>
    </row>
    <row r="74" spans="1:10">
      <c r="A74" s="142" t="s">
        <v>2</v>
      </c>
      <c r="B74" s="143" t="s">
        <v>49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15</v>
      </c>
    </row>
    <row r="75" spans="1:10">
      <c r="A75" s="142" t="s">
        <v>4</v>
      </c>
      <c r="B75" s="143" t="s">
        <v>368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14</v>
      </c>
    </row>
    <row r="76" spans="1:10">
      <c r="A76" s="142" t="s">
        <v>6</v>
      </c>
      <c r="B76" s="143" t="s">
        <v>37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14</v>
      </c>
    </row>
    <row r="77" spans="1:10">
      <c r="A77" s="142" t="s">
        <v>8</v>
      </c>
      <c r="B77" s="143" t="s">
        <v>38</v>
      </c>
      <c r="C77" s="144" t="s">
        <v>371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>
      <c r="A78" s="142" t="s">
        <v>9</v>
      </c>
      <c r="B78" s="143" t="s">
        <v>39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15</v>
      </c>
    </row>
    <row r="79" spans="1:10">
      <c r="A79" s="142" t="s">
        <v>10</v>
      </c>
      <c r="B79" s="143" t="s">
        <v>40</v>
      </c>
      <c r="C79" s="144" t="s">
        <v>372</v>
      </c>
      <c r="D79" s="125"/>
      <c r="E79" s="125"/>
      <c r="F79" s="125"/>
      <c r="G79" s="125"/>
      <c r="H79" s="125"/>
      <c r="I79" s="182">
        <f t="shared" si="6"/>
        <v>0</v>
      </c>
      <c r="J79" s="160" t="s">
        <v>16</v>
      </c>
    </row>
    <row r="80" spans="1:10">
      <c r="A80" s="142" t="s">
        <v>369</v>
      </c>
      <c r="B80" s="143" t="s">
        <v>50</v>
      </c>
      <c r="C80" s="144" t="s">
        <v>371</v>
      </c>
      <c r="D80" s="125"/>
      <c r="E80" s="125"/>
      <c r="F80" s="125"/>
      <c r="G80" s="125"/>
      <c r="H80" s="125"/>
      <c r="I80" s="182">
        <f t="shared" si="6"/>
        <v>0</v>
      </c>
      <c r="J80" s="160" t="s">
        <v>85</v>
      </c>
    </row>
    <row r="81" spans="1:10" hidden="1">
      <c r="A81" s="142" t="s">
        <v>373</v>
      </c>
      <c r="B81" s="128" t="s">
        <v>361</v>
      </c>
      <c r="C81" s="128" t="s">
        <v>361</v>
      </c>
      <c r="D81" s="125"/>
      <c r="E81" s="125"/>
      <c r="F81" s="125"/>
      <c r="G81" s="125"/>
      <c r="H81" s="125"/>
      <c r="I81" s="182">
        <f t="shared" si="6"/>
        <v>0</v>
      </c>
      <c r="J81" s="162"/>
    </row>
    <row r="82" spans="1:10">
      <c r="A82" s="146"/>
      <c r="B82" s="147"/>
      <c r="C82" s="148"/>
      <c r="D82" s="149"/>
      <c r="E82" s="149"/>
      <c r="F82" s="149"/>
      <c r="G82" s="149"/>
      <c r="H82" s="149"/>
      <c r="I82" s="149"/>
      <c r="J82" s="150"/>
    </row>
    <row r="83" spans="1:10">
      <c r="A83" s="132" t="s">
        <v>166</v>
      </c>
      <c r="B83" s="147"/>
      <c r="C83" s="148"/>
      <c r="D83" s="149"/>
      <c r="E83" s="149"/>
      <c r="F83" s="149"/>
      <c r="G83" s="149"/>
      <c r="H83" s="149"/>
      <c r="I83" s="149"/>
      <c r="J83" s="150"/>
    </row>
    <row r="84" spans="1:10">
      <c r="A84" s="142" t="s">
        <v>0</v>
      </c>
      <c r="B84" s="143" t="s">
        <v>42</v>
      </c>
      <c r="C84" s="144" t="s">
        <v>371</v>
      </c>
      <c r="D84" s="125"/>
      <c r="E84" s="125"/>
      <c r="F84" s="125"/>
      <c r="G84" s="125"/>
      <c r="H84" s="125"/>
      <c r="I84" s="182">
        <f t="shared" ref="I84:I88" si="7">SUM(D84:H84)</f>
        <v>0</v>
      </c>
      <c r="J84" s="160" t="s">
        <v>80</v>
      </c>
    </row>
    <row r="85" spans="1:10">
      <c r="A85" s="142" t="s">
        <v>1</v>
      </c>
      <c r="B85" s="143" t="s">
        <v>43</v>
      </c>
      <c r="C85" s="144" t="s">
        <v>549</v>
      </c>
      <c r="D85" s="125"/>
      <c r="E85" s="125"/>
      <c r="F85" s="125"/>
      <c r="G85" s="125"/>
      <c r="H85" s="125"/>
      <c r="I85" s="182">
        <f t="shared" si="7"/>
        <v>0</v>
      </c>
      <c r="J85" s="160" t="s">
        <v>78</v>
      </c>
    </row>
    <row r="86" spans="1:10">
      <c r="A86" s="142" t="s">
        <v>3</v>
      </c>
      <c r="B86" s="143" t="s">
        <v>51</v>
      </c>
      <c r="C86" s="144" t="s">
        <v>371</v>
      </c>
      <c r="D86" s="125"/>
      <c r="E86" s="125"/>
      <c r="F86" s="125"/>
      <c r="G86" s="125"/>
      <c r="H86" s="125"/>
      <c r="I86" s="182">
        <f t="shared" si="7"/>
        <v>0</v>
      </c>
      <c r="J86" s="160" t="s">
        <v>78</v>
      </c>
    </row>
    <row r="87" spans="1:10">
      <c r="A87" s="142" t="s">
        <v>5</v>
      </c>
      <c r="B87" s="143" t="s">
        <v>52</v>
      </c>
      <c r="C87" s="144" t="s">
        <v>372</v>
      </c>
      <c r="D87" s="125"/>
      <c r="E87" s="125"/>
      <c r="F87" s="125"/>
      <c r="G87" s="125"/>
      <c r="H87" s="125"/>
      <c r="I87" s="182">
        <f t="shared" si="7"/>
        <v>0</v>
      </c>
      <c r="J87" s="160" t="s">
        <v>84</v>
      </c>
    </row>
    <row r="88" spans="1:10" hidden="1">
      <c r="A88" s="142" t="s">
        <v>373</v>
      </c>
      <c r="B88" s="128" t="s">
        <v>361</v>
      </c>
      <c r="C88" s="128" t="s">
        <v>361</v>
      </c>
      <c r="D88" s="125"/>
      <c r="E88" s="125"/>
      <c r="F88" s="125"/>
      <c r="G88" s="125"/>
      <c r="H88" s="125"/>
      <c r="I88" s="182">
        <f t="shared" si="7"/>
        <v>0</v>
      </c>
      <c r="J88" s="162"/>
    </row>
    <row r="89" spans="1:10">
      <c r="A89" s="146"/>
      <c r="B89" s="147"/>
      <c r="C89" s="148"/>
      <c r="D89" s="149"/>
      <c r="E89" s="149"/>
      <c r="F89" s="149"/>
      <c r="G89" s="149"/>
      <c r="H89" s="149"/>
      <c r="I89" s="149"/>
      <c r="J89" s="150"/>
    </row>
    <row r="90" spans="1:10">
      <c r="A90" s="132" t="s">
        <v>167</v>
      </c>
      <c r="B90" s="147"/>
      <c r="C90" s="148"/>
      <c r="D90" s="149"/>
      <c r="E90" s="149"/>
      <c r="F90" s="149"/>
      <c r="G90" s="149"/>
      <c r="H90" s="149"/>
      <c r="I90" s="149"/>
      <c r="J90" s="150"/>
    </row>
    <row r="91" spans="1:10" ht="30">
      <c r="A91" s="156" t="s">
        <v>364</v>
      </c>
      <c r="B91" s="158" t="s">
        <v>53</v>
      </c>
      <c r="C91" s="144" t="s">
        <v>371</v>
      </c>
      <c r="D91" s="126"/>
      <c r="E91" s="126"/>
      <c r="F91" s="126"/>
      <c r="G91" s="126"/>
      <c r="H91" s="126"/>
      <c r="I91" s="182">
        <f t="shared" ref="I91:I94" si="8">SUM(D91:H91)</f>
        <v>0</v>
      </c>
      <c r="J91" s="161" t="s">
        <v>366</v>
      </c>
    </row>
    <row r="92" spans="1:10">
      <c r="A92" s="156" t="s">
        <v>2</v>
      </c>
      <c r="B92" s="158" t="s">
        <v>363</v>
      </c>
      <c r="C92" s="144" t="s">
        <v>371</v>
      </c>
      <c r="D92" s="126"/>
      <c r="E92" s="126"/>
      <c r="F92" s="126"/>
      <c r="G92" s="126"/>
      <c r="H92" s="126"/>
      <c r="I92" s="182">
        <f t="shared" si="8"/>
        <v>0</v>
      </c>
      <c r="J92" s="161" t="s">
        <v>366</v>
      </c>
    </row>
    <row r="93" spans="1:10">
      <c r="A93" s="156" t="s">
        <v>4</v>
      </c>
      <c r="B93" s="158" t="s">
        <v>45</v>
      </c>
      <c r="C93" s="144" t="s">
        <v>371</v>
      </c>
      <c r="D93" s="126"/>
      <c r="E93" s="126"/>
      <c r="F93" s="126"/>
      <c r="G93" s="126"/>
      <c r="H93" s="126"/>
      <c r="I93" s="182">
        <f t="shared" si="8"/>
        <v>0</v>
      </c>
      <c r="J93" s="161" t="s">
        <v>19</v>
      </c>
    </row>
    <row r="94" spans="1:10" hidden="1">
      <c r="A94" s="142" t="s">
        <v>373</v>
      </c>
      <c r="B94" s="128" t="s">
        <v>361</v>
      </c>
      <c r="C94" s="128" t="s">
        <v>361</v>
      </c>
      <c r="D94" s="125"/>
      <c r="E94" s="125"/>
      <c r="F94" s="125"/>
      <c r="G94" s="125"/>
      <c r="H94" s="125"/>
      <c r="I94" s="182">
        <f t="shared" si="8"/>
        <v>0</v>
      </c>
      <c r="J94" s="162"/>
    </row>
    <row r="95" spans="1:10">
      <c r="A95" s="146"/>
      <c r="B95" s="147"/>
      <c r="C95" s="167"/>
      <c r="D95" s="154"/>
      <c r="E95" s="154"/>
      <c r="F95" s="154"/>
      <c r="G95" s="154"/>
      <c r="H95" s="154"/>
      <c r="I95" s="154"/>
      <c r="J95" s="150"/>
    </row>
    <row r="96" spans="1:10">
      <c r="A96" s="164" t="s">
        <v>168</v>
      </c>
      <c r="B96" s="168"/>
      <c r="C96" s="130"/>
      <c r="D96" s="131"/>
      <c r="E96" s="131"/>
      <c r="F96" s="131"/>
      <c r="G96" s="131"/>
      <c r="H96" s="131"/>
      <c r="I96" s="131"/>
      <c r="J96" s="155"/>
    </row>
    <row r="97" spans="1:10">
      <c r="A97" s="142" t="s">
        <v>0</v>
      </c>
      <c r="B97" s="143" t="s">
        <v>54</v>
      </c>
      <c r="C97" s="144" t="s">
        <v>372</v>
      </c>
      <c r="D97" s="125"/>
      <c r="E97" s="125"/>
      <c r="F97" s="125"/>
      <c r="G97" s="125"/>
      <c r="H97" s="125"/>
      <c r="I97" s="182">
        <f t="shared" ref="I97:I101" si="9">SUM(D97:H97)</f>
        <v>0</v>
      </c>
      <c r="J97" s="160" t="s">
        <v>82</v>
      </c>
    </row>
    <row r="98" spans="1:10">
      <c r="A98" s="142" t="s">
        <v>1</v>
      </c>
      <c r="B98" s="143" t="s">
        <v>55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80</v>
      </c>
    </row>
    <row r="99" spans="1:10" ht="30">
      <c r="A99" s="142" t="s">
        <v>3</v>
      </c>
      <c r="B99" s="143" t="s">
        <v>56</v>
      </c>
      <c r="C99" s="144" t="s">
        <v>371</v>
      </c>
      <c r="D99" s="125"/>
      <c r="E99" s="125"/>
      <c r="F99" s="125"/>
      <c r="G99" s="125"/>
      <c r="H99" s="125"/>
      <c r="I99" s="182">
        <f t="shared" si="9"/>
        <v>0</v>
      </c>
      <c r="J99" s="160" t="s">
        <v>86</v>
      </c>
    </row>
    <row r="100" spans="1:10">
      <c r="A100" s="142" t="s">
        <v>5</v>
      </c>
      <c r="B100" s="143" t="s">
        <v>57</v>
      </c>
      <c r="C100" s="144" t="s">
        <v>371</v>
      </c>
      <c r="D100" s="125"/>
      <c r="E100" s="125"/>
      <c r="F100" s="125"/>
      <c r="G100" s="125"/>
      <c r="H100" s="125"/>
      <c r="I100" s="182">
        <f t="shared" si="9"/>
        <v>0</v>
      </c>
      <c r="J100" s="160" t="s">
        <v>76</v>
      </c>
    </row>
    <row r="101" spans="1:10" hidden="1">
      <c r="A101" s="142" t="s">
        <v>373</v>
      </c>
      <c r="B101" s="128" t="s">
        <v>361</v>
      </c>
      <c r="C101" s="128" t="s">
        <v>361</v>
      </c>
      <c r="D101" s="125"/>
      <c r="E101" s="125"/>
      <c r="F101" s="125"/>
      <c r="G101" s="125"/>
      <c r="H101" s="125"/>
      <c r="I101" s="182">
        <f t="shared" si="9"/>
        <v>0</v>
      </c>
      <c r="J101" s="162"/>
    </row>
    <row r="102" spans="1:10">
      <c r="A102" s="165"/>
      <c r="B102" s="168"/>
      <c r="C102" s="130"/>
      <c r="D102" s="131"/>
      <c r="E102" s="131"/>
      <c r="F102" s="131"/>
      <c r="G102" s="131"/>
      <c r="H102" s="131"/>
      <c r="I102" s="131"/>
      <c r="J102" s="155"/>
    </row>
    <row r="103" spans="1:10">
      <c r="A103" s="164" t="s">
        <v>171</v>
      </c>
      <c r="B103" s="168"/>
      <c r="C103" s="130"/>
      <c r="D103" s="131"/>
      <c r="E103" s="131"/>
      <c r="F103" s="131"/>
      <c r="G103" s="131"/>
      <c r="H103" s="131"/>
      <c r="I103" s="131"/>
      <c r="J103" s="155"/>
    </row>
    <row r="104" spans="1:10" ht="30">
      <c r="A104" s="142" t="s">
        <v>0</v>
      </c>
      <c r="B104" s="143" t="s">
        <v>58</v>
      </c>
      <c r="C104" s="144" t="s">
        <v>372</v>
      </c>
      <c r="D104" s="125"/>
      <c r="E104" s="125"/>
      <c r="F104" s="125"/>
      <c r="G104" s="125"/>
      <c r="H104" s="125"/>
      <c r="I104" s="182">
        <f t="shared" ref="I104:I107" si="10">SUM(D104:H104)</f>
        <v>0</v>
      </c>
      <c r="J104" s="160" t="s">
        <v>29</v>
      </c>
    </row>
    <row r="105" spans="1:10">
      <c r="A105" s="142" t="s">
        <v>1</v>
      </c>
      <c r="B105" s="143" t="s">
        <v>59</v>
      </c>
      <c r="C105" s="144" t="s">
        <v>371</v>
      </c>
      <c r="D105" s="125"/>
      <c r="E105" s="125"/>
      <c r="F105" s="125"/>
      <c r="G105" s="125"/>
      <c r="H105" s="125"/>
      <c r="I105" s="182">
        <f t="shared" si="10"/>
        <v>0</v>
      </c>
      <c r="J105" s="160" t="s">
        <v>29</v>
      </c>
    </row>
    <row r="106" spans="1:10">
      <c r="A106" s="142" t="s">
        <v>3</v>
      </c>
      <c r="B106" s="143" t="s">
        <v>60</v>
      </c>
      <c r="C106" s="144" t="s">
        <v>372</v>
      </c>
      <c r="D106" s="125"/>
      <c r="E106" s="125"/>
      <c r="F106" s="125"/>
      <c r="G106" s="125"/>
      <c r="H106" s="125"/>
      <c r="I106" s="182">
        <f t="shared" si="10"/>
        <v>0</v>
      </c>
      <c r="J106" s="160" t="s">
        <v>29</v>
      </c>
    </row>
    <row r="107" spans="1:10" hidden="1">
      <c r="A107" s="142" t="s">
        <v>373</v>
      </c>
      <c r="B107" s="128" t="s">
        <v>361</v>
      </c>
      <c r="C107" s="128" t="s">
        <v>361</v>
      </c>
      <c r="D107" s="125"/>
      <c r="E107" s="125"/>
      <c r="F107" s="125"/>
      <c r="G107" s="125"/>
      <c r="H107" s="125"/>
      <c r="I107" s="182">
        <f t="shared" si="10"/>
        <v>0</v>
      </c>
      <c r="J107" s="162"/>
    </row>
    <row r="108" spans="1:10">
      <c r="A108" s="166"/>
      <c r="B108" s="168"/>
      <c r="C108" s="130"/>
      <c r="D108" s="131"/>
      <c r="E108" s="131"/>
      <c r="F108" s="131"/>
      <c r="G108" s="131"/>
      <c r="H108" s="131"/>
      <c r="I108" s="131"/>
      <c r="J108" s="155"/>
    </row>
    <row r="109" spans="1:10">
      <c r="A109" s="164" t="s">
        <v>169</v>
      </c>
      <c r="B109" s="168"/>
      <c r="C109" s="130"/>
      <c r="D109" s="131"/>
      <c r="E109" s="131"/>
      <c r="F109" s="131"/>
      <c r="G109" s="131"/>
      <c r="H109" s="131"/>
      <c r="I109" s="131"/>
      <c r="J109" s="155"/>
    </row>
    <row r="110" spans="1:10">
      <c r="A110" s="142" t="s">
        <v>0</v>
      </c>
      <c r="B110" s="143" t="s">
        <v>61</v>
      </c>
      <c r="C110" s="144" t="s">
        <v>372</v>
      </c>
      <c r="D110" s="125"/>
      <c r="E110" s="125"/>
      <c r="F110" s="125"/>
      <c r="G110" s="125"/>
      <c r="H110" s="125"/>
      <c r="I110" s="182">
        <f t="shared" ref="I110:I114" si="11">SUM(D110:H110)</f>
        <v>0</v>
      </c>
      <c r="J110" s="160" t="s">
        <v>92</v>
      </c>
    </row>
    <row r="111" spans="1:10">
      <c r="A111" s="142" t="s">
        <v>1</v>
      </c>
      <c r="B111" s="143" t="s">
        <v>62</v>
      </c>
      <c r="C111" s="144" t="s">
        <v>371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>
      <c r="A112" s="142" t="s">
        <v>3</v>
      </c>
      <c r="B112" s="143" t="s">
        <v>63</v>
      </c>
      <c r="C112" s="144" t="s">
        <v>372</v>
      </c>
      <c r="D112" s="125"/>
      <c r="E112" s="125"/>
      <c r="F112" s="125"/>
      <c r="G112" s="125"/>
      <c r="H112" s="125"/>
      <c r="I112" s="182">
        <f t="shared" si="11"/>
        <v>0</v>
      </c>
      <c r="J112" s="160" t="s">
        <v>92</v>
      </c>
    </row>
    <row r="113" spans="1:10">
      <c r="A113" s="142" t="s">
        <v>5</v>
      </c>
      <c r="B113" s="143" t="s">
        <v>64</v>
      </c>
      <c r="C113" s="144" t="s">
        <v>372</v>
      </c>
      <c r="D113" s="125"/>
      <c r="E113" s="125"/>
      <c r="F113" s="125"/>
      <c r="G113" s="125"/>
      <c r="H113" s="125"/>
      <c r="I113" s="182">
        <f t="shared" si="11"/>
        <v>0</v>
      </c>
      <c r="J113" s="160" t="s">
        <v>92</v>
      </c>
    </row>
    <row r="114" spans="1:10" hidden="1">
      <c r="A114" s="142" t="s">
        <v>373</v>
      </c>
      <c r="B114" s="128" t="s">
        <v>361</v>
      </c>
      <c r="C114" s="128" t="s">
        <v>361</v>
      </c>
      <c r="D114" s="125"/>
      <c r="E114" s="125"/>
      <c r="F114" s="125"/>
      <c r="G114" s="125"/>
      <c r="H114" s="125"/>
      <c r="I114" s="182">
        <f t="shared" si="11"/>
        <v>0</v>
      </c>
      <c r="J114" s="162"/>
    </row>
    <row r="115" spans="1:10">
      <c r="A115" s="146"/>
      <c r="B115" s="180"/>
      <c r="C115" s="180"/>
      <c r="D115" s="154"/>
      <c r="E115" s="154"/>
      <c r="F115" s="154"/>
      <c r="G115" s="154"/>
      <c r="H115" s="154"/>
      <c r="I115" s="154"/>
      <c r="J115" s="150"/>
    </row>
    <row r="116" spans="1:10" ht="15">
      <c r="A116" s="159" t="s">
        <v>383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 ht="7.5" customHeight="1">
      <c r="A117" s="159"/>
      <c r="B117" s="130"/>
      <c r="C117" s="130"/>
      <c r="D117" s="131"/>
      <c r="E117" s="131"/>
      <c r="F117" s="131"/>
      <c r="G117" s="131"/>
      <c r="H117" s="131"/>
      <c r="I117" s="131"/>
      <c r="J117" s="166"/>
    </row>
    <row r="118" spans="1:10" ht="17.25" customHeight="1">
      <c r="A118" s="194" t="s">
        <v>468</v>
      </c>
      <c r="B118" s="130"/>
      <c r="C118" s="130"/>
      <c r="D118" s="131"/>
      <c r="E118" s="131"/>
      <c r="F118" s="131"/>
      <c r="G118" s="528" t="s">
        <v>547</v>
      </c>
      <c r="H118" s="529"/>
      <c r="I118" s="131"/>
      <c r="J118" s="166"/>
    </row>
    <row r="119" spans="1:10">
      <c r="A119" s="130"/>
      <c r="B119" s="535" t="s">
        <v>401</v>
      </c>
      <c r="C119" s="536"/>
      <c r="D119" s="188" t="s">
        <v>392</v>
      </c>
      <c r="E119" s="188" t="s">
        <v>393</v>
      </c>
      <c r="F119" s="188" t="s">
        <v>394</v>
      </c>
      <c r="G119" s="188" t="s">
        <v>395</v>
      </c>
      <c r="H119" s="188" t="s">
        <v>396</v>
      </c>
      <c r="I119" s="131"/>
      <c r="J119" s="166"/>
    </row>
    <row r="120" spans="1:10" ht="15.75" customHeight="1">
      <c r="A120" s="146"/>
      <c r="B120" s="535" t="s">
        <v>403</v>
      </c>
      <c r="C120" s="535"/>
      <c r="D120" s="188">
        <f>SUM(D24:D27,D31:D34,D38:D43,D47:D48,D52:D54,D66:D69,D73:D80,D84:D87,D91:D93,D97:D100,D104:D106,D110:D113)</f>
        <v>189</v>
      </c>
      <c r="E120" s="188">
        <f>SUM(E24:E27,E31:E34,E38:E43,E47:E48,E52:E54,E66:E69,E73:E80,E84:E87,E91:E93,E97:E100,E104:E106,E110:E113)</f>
        <v>40</v>
      </c>
      <c r="F120" s="188">
        <f>SUM(F24:F27,F31:F34,F38:F43,F47:F48,F52:F54,F66:F69,F73:F80,F84:F87,F91:F93,F97:F100,F104:F106,F110:F113)</f>
        <v>0</v>
      </c>
      <c r="G120" s="188">
        <f>SUM(G24:G27,G31:G34,G38:G43,G47:G48,G52:G54,G66:G69,G73:G80,G84:G87,G91:G93,G97:G100,G104:G106,G110:G113)</f>
        <v>0</v>
      </c>
      <c r="H120" s="188">
        <f>SUM(H24:H27,H31:H34,H38:H43,H47:H48,H52:H54,H66:H69,H73:H80,H84:H87,H91:H93,H97:H100,H104:H106,H110:H113)</f>
        <v>0</v>
      </c>
      <c r="I120" s="150"/>
      <c r="J120" s="150"/>
    </row>
    <row r="121" spans="1:10">
      <c r="A121" s="146"/>
      <c r="B121" s="130"/>
      <c r="C121" s="130"/>
      <c r="D121" s="130"/>
      <c r="E121" s="130"/>
      <c r="F121" s="130"/>
      <c r="G121" s="130"/>
      <c r="H121" s="130"/>
      <c r="I121" s="150"/>
      <c r="J121" s="150"/>
    </row>
    <row r="122" spans="1:10">
      <c r="A122" s="166"/>
      <c r="B122" s="130"/>
      <c r="C122" s="130"/>
      <c r="D122" s="131"/>
      <c r="E122" s="131"/>
      <c r="F122" s="131"/>
      <c r="G122" s="131"/>
      <c r="H122" s="131"/>
      <c r="I122" s="131"/>
      <c r="J122" s="132"/>
    </row>
    <row r="123" spans="1:10">
      <c r="A123" s="5"/>
    </row>
    <row r="124" spans="1:10">
      <c r="A124" s="220"/>
      <c r="B124" s="134"/>
      <c r="C124" s="134"/>
      <c r="D124" s="136"/>
      <c r="E124" s="136"/>
      <c r="F124" s="136"/>
      <c r="G124" s="136"/>
      <c r="H124" s="136"/>
      <c r="I124" s="136"/>
      <c r="J124" s="135"/>
    </row>
    <row r="125" spans="1:10" ht="18">
      <c r="A125" s="133" t="s">
        <v>483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8">
      <c r="A126" s="133"/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8">
      <c r="A127" s="135" t="s">
        <v>402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8">
      <c r="A128" s="134" t="s">
        <v>406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18">
      <c r="A129" s="134" t="s">
        <v>408</v>
      </c>
      <c r="B129" s="133"/>
      <c r="C129" s="134"/>
      <c r="D129" s="134"/>
      <c r="E129" s="134"/>
      <c r="F129" s="134"/>
      <c r="G129" s="134"/>
      <c r="H129" s="134"/>
      <c r="I129" s="136"/>
      <c r="J129" s="135"/>
    </row>
    <row r="130" spans="1:10" ht="18">
      <c r="A130" s="134" t="s">
        <v>409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30.75" customHeight="1">
      <c r="A131" s="537" t="s">
        <v>485</v>
      </c>
      <c r="B131" s="537"/>
      <c r="C131" s="537"/>
      <c r="D131" s="537"/>
      <c r="E131" s="537"/>
      <c r="F131" s="537"/>
      <c r="G131" s="537"/>
      <c r="H131" s="537"/>
      <c r="I131" s="537"/>
      <c r="J131" s="537"/>
    </row>
    <row r="132" spans="1:10" ht="18">
      <c r="A132" s="134" t="s">
        <v>410</v>
      </c>
      <c r="B132" s="133"/>
      <c r="C132" s="134"/>
      <c r="D132" s="134"/>
      <c r="E132" s="134"/>
      <c r="F132" s="134"/>
      <c r="G132" s="134"/>
      <c r="H132" s="134"/>
      <c r="I132" s="136"/>
      <c r="J132" s="135"/>
    </row>
    <row r="133" spans="1:10" ht="18" customHeight="1">
      <c r="A133" s="196"/>
      <c r="B133" s="133"/>
      <c r="C133" s="134"/>
      <c r="D133" s="134"/>
      <c r="E133" s="134"/>
      <c r="F133" s="134"/>
      <c r="G133" s="134"/>
      <c r="H133" s="134"/>
      <c r="I133" s="538" t="s">
        <v>469</v>
      </c>
      <c r="J133" s="539" t="s">
        <v>414</v>
      </c>
    </row>
    <row r="134" spans="1:10" ht="15.75" customHeight="1">
      <c r="A134" s="169"/>
      <c r="B134" s="169"/>
      <c r="C134" s="169"/>
      <c r="D134" s="540" t="s">
        <v>398</v>
      </c>
      <c r="E134" s="540"/>
      <c r="F134" s="519" t="s">
        <v>411</v>
      </c>
      <c r="G134" s="519"/>
      <c r="H134" s="519"/>
      <c r="I134" s="538"/>
      <c r="J134" s="539"/>
    </row>
    <row r="135" spans="1:10" ht="15.75" customHeight="1">
      <c r="A135" s="170" t="s">
        <v>376</v>
      </c>
      <c r="B135" s="171"/>
      <c r="C135" s="172"/>
      <c r="D135" s="541"/>
      <c r="E135" s="541"/>
      <c r="F135" s="520"/>
      <c r="G135" s="520"/>
      <c r="H135" s="520"/>
      <c r="I135" s="538"/>
      <c r="J135" s="539"/>
    </row>
    <row r="136" spans="1:10">
      <c r="A136" s="163" t="s">
        <v>27</v>
      </c>
      <c r="B136" s="530" t="s">
        <v>23</v>
      </c>
      <c r="C136" s="531"/>
      <c r="D136" s="530" t="s">
        <v>83</v>
      </c>
      <c r="E136" s="531"/>
      <c r="F136" s="532">
        <f>ROUND((SUMIF($J$24:$J$114,A136,$I$24:$I$114))*0.83,0)</f>
        <v>83</v>
      </c>
      <c r="G136" s="533"/>
      <c r="H136" s="534"/>
      <c r="I136" s="136" t="str">
        <f>I$13</f>
        <v>75</v>
      </c>
      <c r="J136" s="197">
        <f>IF(F136&gt;0,MAX(0,I136-F136),"")</f>
        <v>0</v>
      </c>
    </row>
    <row r="137" spans="1:10">
      <c r="A137" s="163" t="s">
        <v>26</v>
      </c>
      <c r="B137" s="530" t="s">
        <v>24</v>
      </c>
      <c r="C137" s="531"/>
      <c r="D137" s="530">
        <v>2</v>
      </c>
      <c r="E137" s="531"/>
      <c r="F137" s="532">
        <f>ROUND((SUMIF($J$24:$J$114,A137,$I$24:$I$114))*0.83,0)</f>
        <v>42</v>
      </c>
      <c r="G137" s="533"/>
      <c r="H137" s="534"/>
      <c r="I137" s="136" t="str">
        <f t="shared" ref="I137:I138" si="12">I$13</f>
        <v>75</v>
      </c>
      <c r="J137" s="197">
        <f>IF(F137&gt;0,MAX(0,I137-F137),"")</f>
        <v>33</v>
      </c>
    </row>
    <row r="138" spans="1:10">
      <c r="A138" s="163" t="s">
        <v>28</v>
      </c>
      <c r="B138" s="530" t="s">
        <v>25</v>
      </c>
      <c r="C138" s="531"/>
      <c r="D138" s="530">
        <v>3</v>
      </c>
      <c r="E138" s="531"/>
      <c r="F138" s="532">
        <f>ROUND((SUMIF($J$24:$J$114,A138,$I$24:$I$114))*0.83,0)</f>
        <v>32</v>
      </c>
      <c r="G138" s="533"/>
      <c r="H138" s="534"/>
      <c r="I138" s="136" t="str">
        <f t="shared" si="12"/>
        <v>75</v>
      </c>
      <c r="J138" s="197">
        <f>IF(F138&gt;0,MAX(0,I138-F138),"")</f>
        <v>43</v>
      </c>
    </row>
    <row r="139" spans="1:10">
      <c r="A139" s="173"/>
      <c r="B139" s="134"/>
      <c r="C139" s="134"/>
      <c r="D139" s="195"/>
      <c r="E139" s="195"/>
      <c r="F139" s="135"/>
      <c r="G139" s="135"/>
      <c r="H139" s="135"/>
      <c r="I139" s="136"/>
      <c r="J139" s="221"/>
    </row>
    <row r="140" spans="1:10" ht="15.75" customHeight="1">
      <c r="A140" s="170" t="s">
        <v>377</v>
      </c>
      <c r="B140" s="171"/>
      <c r="C140" s="172"/>
      <c r="D140" s="225"/>
      <c r="E140" s="225"/>
      <c r="F140" s="183"/>
      <c r="G140" s="183"/>
      <c r="H140" s="183"/>
      <c r="I140" s="247"/>
      <c r="J140" s="223"/>
    </row>
    <row r="141" spans="1:10">
      <c r="A141" s="163" t="s">
        <v>14</v>
      </c>
      <c r="B141" s="530" t="s">
        <v>551</v>
      </c>
      <c r="C141" s="531"/>
      <c r="D141" s="530" t="s">
        <v>83</v>
      </c>
      <c r="E141" s="531"/>
      <c r="F141" s="532">
        <f>ROUND((SUMIF($J$24:$J$114,A141,$I$24:$I$114))*0.83,0)</f>
        <v>0</v>
      </c>
      <c r="G141" s="533"/>
      <c r="H141" s="534"/>
      <c r="I141" s="136" t="str">
        <f>I$13</f>
        <v>75</v>
      </c>
      <c r="J141" s="197" t="str">
        <f>IF(F141&gt;0,MAX(0,I141-F141),"")</f>
        <v/>
      </c>
    </row>
    <row r="142" spans="1:10">
      <c r="A142" s="163" t="s">
        <v>15</v>
      </c>
      <c r="B142" s="530" t="s">
        <v>12</v>
      </c>
      <c r="C142" s="531"/>
      <c r="D142" s="530">
        <v>3</v>
      </c>
      <c r="E142" s="531"/>
      <c r="F142" s="532">
        <f>ROUND((SUMIF($J$24:$J$114,A142,$I$24:$I$114))*0.83,0)</f>
        <v>0</v>
      </c>
      <c r="G142" s="533"/>
      <c r="H142" s="534"/>
      <c r="I142" s="136" t="str">
        <f t="shared" ref="I142:I143" si="13">I$13</f>
        <v>75</v>
      </c>
      <c r="J142" s="197" t="str">
        <f>IF(F142&gt;0,MAX(0,I142-F142),"")</f>
        <v/>
      </c>
    </row>
    <row r="143" spans="1:10">
      <c r="A143" s="163" t="s">
        <v>16</v>
      </c>
      <c r="B143" s="530" t="s">
        <v>13</v>
      </c>
      <c r="C143" s="531"/>
      <c r="D143" s="530" t="s">
        <v>83</v>
      </c>
      <c r="E143" s="531"/>
      <c r="F143" s="532">
        <f>ROUND((SUMIF($J$24:$J$114,A143,$I$24:$I$114))*0.83,0)</f>
        <v>0</v>
      </c>
      <c r="G143" s="533"/>
      <c r="H143" s="534"/>
      <c r="I143" s="136" t="str">
        <f t="shared" si="13"/>
        <v>75</v>
      </c>
      <c r="J143" s="197" t="str">
        <f>IF(F143&gt;0,MAX(0,I143-F143),"")</f>
        <v/>
      </c>
    </row>
    <row r="144" spans="1:10">
      <c r="A144" s="174"/>
      <c r="B144" s="175"/>
      <c r="C144" s="174"/>
      <c r="D144" s="195"/>
      <c r="E144" s="195"/>
      <c r="F144" s="135"/>
      <c r="G144" s="135"/>
      <c r="H144" s="135"/>
      <c r="I144" s="136"/>
      <c r="J144" s="221"/>
    </row>
    <row r="145" spans="1:10" ht="15.75" customHeight="1">
      <c r="A145" s="170" t="s">
        <v>378</v>
      </c>
      <c r="B145" s="171"/>
      <c r="C145" s="172"/>
      <c r="D145" s="225"/>
      <c r="E145" s="225"/>
      <c r="F145" s="183"/>
      <c r="G145" s="183"/>
      <c r="H145" s="183"/>
      <c r="I145" s="247"/>
      <c r="J145" s="223"/>
    </row>
    <row r="146" spans="1:10">
      <c r="A146" s="163" t="s">
        <v>17</v>
      </c>
      <c r="B146" s="530" t="s">
        <v>21</v>
      </c>
      <c r="C146" s="531"/>
      <c r="D146" s="530" t="s">
        <v>83</v>
      </c>
      <c r="E146" s="531"/>
      <c r="F146" s="532">
        <f>ROUND((SUMIF($J$24:$J$114,A146,$I$24:$I$114))*0.83,0)</f>
        <v>0</v>
      </c>
      <c r="G146" s="533"/>
      <c r="H146" s="534"/>
      <c r="I146" s="136" t="str">
        <f>I$13</f>
        <v>75</v>
      </c>
      <c r="J146" s="197" t="str">
        <f>IF(F146&gt;0,MAX(0,I146-F146),"")</f>
        <v/>
      </c>
    </row>
    <row r="147" spans="1:10">
      <c r="A147" s="163" t="s">
        <v>18</v>
      </c>
      <c r="B147" s="530" t="s">
        <v>22</v>
      </c>
      <c r="C147" s="531"/>
      <c r="D147" s="530" t="s">
        <v>83</v>
      </c>
      <c r="E147" s="531"/>
      <c r="F147" s="532">
        <f>ROUND((SUMIF($J$24:$J$114,A147,$I$24:$I$114))*0.83,0)</f>
        <v>0</v>
      </c>
      <c r="G147" s="533"/>
      <c r="H147" s="534"/>
      <c r="I147" s="136" t="str">
        <f t="shared" ref="I147:I148" si="14">I$13</f>
        <v>75</v>
      </c>
      <c r="J147" s="197" t="str">
        <f>IF(F147&gt;0,MAX(0,I147-F147),"")</f>
        <v/>
      </c>
    </row>
    <row r="148" spans="1:10">
      <c r="A148" s="163" t="s">
        <v>19</v>
      </c>
      <c r="B148" s="530" t="s">
        <v>20</v>
      </c>
      <c r="C148" s="531"/>
      <c r="D148" s="530" t="s">
        <v>83</v>
      </c>
      <c r="E148" s="531"/>
      <c r="F148" s="532">
        <f>ROUND((SUMIF($J$24:$J$114,A148,$I$24:$I$114))*0.83,0)</f>
        <v>0</v>
      </c>
      <c r="G148" s="533"/>
      <c r="H148" s="534"/>
      <c r="I148" s="136" t="str">
        <f t="shared" si="14"/>
        <v>75</v>
      </c>
      <c r="J148" s="197" t="str">
        <f>IF(F148&gt;0,MAX(0,I148-F148),"")</f>
        <v/>
      </c>
    </row>
    <row r="149" spans="1:10">
      <c r="A149" s="173"/>
      <c r="B149" s="134"/>
      <c r="C149" s="134"/>
      <c r="D149" s="195"/>
      <c r="E149" s="195"/>
      <c r="F149" s="135"/>
      <c r="G149" s="135"/>
      <c r="H149" s="135"/>
      <c r="I149" s="136"/>
      <c r="J149" s="221"/>
    </row>
    <row r="150" spans="1:10" ht="15.75" customHeight="1">
      <c r="A150" s="170" t="s">
        <v>379</v>
      </c>
      <c r="B150" s="171"/>
      <c r="C150" s="172"/>
      <c r="D150" s="225"/>
      <c r="E150" s="225"/>
      <c r="F150" s="183"/>
      <c r="G150" s="183"/>
      <c r="H150" s="183"/>
      <c r="I150" s="247"/>
      <c r="J150" s="223"/>
    </row>
    <row r="151" spans="1:10">
      <c r="A151" s="163" t="s">
        <v>76</v>
      </c>
      <c r="B151" s="530" t="s">
        <v>77</v>
      </c>
      <c r="C151" s="531"/>
      <c r="D151" s="530" t="s">
        <v>83</v>
      </c>
      <c r="E151" s="531"/>
      <c r="F151" s="532">
        <f>ROUND((SUMIF($J$24:$J$114,A151,$I$24:$I$114))*0.83,0)</f>
        <v>0</v>
      </c>
      <c r="G151" s="533"/>
      <c r="H151" s="534"/>
      <c r="I151" s="136" t="str">
        <f>I$13</f>
        <v>75</v>
      </c>
      <c r="J151" s="197" t="str">
        <f>IF(F151&gt;0,MAX(0,I151-F151),"")</f>
        <v/>
      </c>
    </row>
    <row r="152" spans="1:10" ht="15.75" customHeight="1">
      <c r="A152" s="163" t="s">
        <v>78</v>
      </c>
      <c r="B152" s="530" t="s">
        <v>550</v>
      </c>
      <c r="C152" s="531"/>
      <c r="D152" s="530" t="s">
        <v>83</v>
      </c>
      <c r="E152" s="531"/>
      <c r="F152" s="532">
        <f>ROUND((SUMIF($J$24:$J$114,A152,$I$24:$I$114))*0.83,0)</f>
        <v>0</v>
      </c>
      <c r="G152" s="533"/>
      <c r="H152" s="534"/>
      <c r="I152" s="136" t="str">
        <f t="shared" ref="I152:I153" si="15">I$13</f>
        <v>75</v>
      </c>
      <c r="J152" s="197" t="str">
        <f>IF(F152&gt;0,MAX(0,I152-F152),"")</f>
        <v/>
      </c>
    </row>
    <row r="153" spans="1:10">
      <c r="A153" s="163" t="s">
        <v>80</v>
      </c>
      <c r="B153" s="530" t="s">
        <v>81</v>
      </c>
      <c r="C153" s="531"/>
      <c r="D153" s="530" t="s">
        <v>83</v>
      </c>
      <c r="E153" s="531"/>
      <c r="F153" s="532">
        <f>ROUND((SUMIF($J$24:$J$114,A153,$I$24:$I$114))*0.83,0)</f>
        <v>33</v>
      </c>
      <c r="G153" s="533"/>
      <c r="H153" s="534"/>
      <c r="I153" s="136" t="str">
        <f t="shared" si="15"/>
        <v>75</v>
      </c>
      <c r="J153" s="197">
        <f>IF(F153&gt;0,MAX(0,I153-F153),"")</f>
        <v>42</v>
      </c>
    </row>
    <row r="154" spans="1:10">
      <c r="A154" s="174"/>
      <c r="B154" s="175"/>
      <c r="C154" s="175"/>
      <c r="D154" s="195"/>
      <c r="E154" s="195"/>
      <c r="F154" s="135"/>
      <c r="G154" s="135"/>
      <c r="H154" s="135"/>
      <c r="I154" s="136"/>
      <c r="J154" s="221"/>
    </row>
    <row r="155" spans="1:10" ht="15.75" customHeight="1">
      <c r="A155" s="170" t="s">
        <v>380</v>
      </c>
      <c r="B155" s="171"/>
      <c r="C155" s="172"/>
      <c r="D155" s="225"/>
      <c r="E155" s="225"/>
      <c r="F155" s="183"/>
      <c r="G155" s="183"/>
      <c r="H155" s="183"/>
      <c r="I155" s="247"/>
      <c r="J155" s="223"/>
    </row>
    <row r="156" spans="1:10">
      <c r="A156" s="163" t="s">
        <v>84</v>
      </c>
      <c r="B156" s="530" t="s">
        <v>87</v>
      </c>
      <c r="C156" s="531"/>
      <c r="D156" s="530">
        <v>3</v>
      </c>
      <c r="E156" s="531"/>
      <c r="F156" s="532">
        <f>ROUND((SUMIF($J$24:$J$114,A156,$I$24:$I$114))*0.83,0)</f>
        <v>0</v>
      </c>
      <c r="G156" s="533"/>
      <c r="H156" s="534"/>
      <c r="I156" s="136" t="str">
        <f>I$13</f>
        <v>75</v>
      </c>
      <c r="J156" s="197" t="str">
        <f>IF(F156&gt;0,MAX(0,I156-F156),"")</f>
        <v/>
      </c>
    </row>
    <row r="157" spans="1:10">
      <c r="A157" s="163" t="s">
        <v>85</v>
      </c>
      <c r="B157" s="530" t="s">
        <v>88</v>
      </c>
      <c r="C157" s="531"/>
      <c r="D157" s="530" t="s">
        <v>83</v>
      </c>
      <c r="E157" s="531"/>
      <c r="F157" s="532">
        <f>ROUND((SUMIF($J$24:$J$114,A157,$I$24:$I$114))*0.83,0)</f>
        <v>0</v>
      </c>
      <c r="G157" s="533"/>
      <c r="H157" s="534"/>
      <c r="I157" s="136" t="str">
        <f t="shared" ref="I157:I158" si="16">I$13</f>
        <v>75</v>
      </c>
      <c r="J157" s="197" t="str">
        <f>IF(F157&gt;0,MAX(0,I157-F157),"")</f>
        <v/>
      </c>
    </row>
    <row r="158" spans="1:10">
      <c r="A158" s="163" t="s">
        <v>86</v>
      </c>
      <c r="B158" s="530" t="s">
        <v>89</v>
      </c>
      <c r="C158" s="531"/>
      <c r="D158" s="530" t="s">
        <v>83</v>
      </c>
      <c r="E158" s="531"/>
      <c r="F158" s="532">
        <f>ROUND((SUMIF($J$24:$J$114,A158,$I$24:$I$114))*0.83,0)</f>
        <v>0</v>
      </c>
      <c r="G158" s="533"/>
      <c r="H158" s="534"/>
      <c r="I158" s="136" t="str">
        <f t="shared" si="16"/>
        <v>75</v>
      </c>
      <c r="J158" s="197" t="str">
        <f>IF(F158&gt;0,MAX(0,I158-F158),"")</f>
        <v/>
      </c>
    </row>
    <row r="159" spans="1:10">
      <c r="A159" s="542" t="s">
        <v>381</v>
      </c>
      <c r="B159" s="542"/>
      <c r="C159" s="542"/>
      <c r="D159" s="195"/>
      <c r="E159" s="195"/>
      <c r="F159" s="135"/>
      <c r="G159" s="135"/>
      <c r="H159" s="135"/>
      <c r="I159" s="136"/>
      <c r="J159" s="221"/>
    </row>
    <row r="160" spans="1:10" ht="15.75" customHeight="1">
      <c r="A160" s="541"/>
      <c r="B160" s="541"/>
      <c r="C160" s="541"/>
      <c r="D160" s="183"/>
      <c r="E160" s="183"/>
      <c r="F160" s="183"/>
      <c r="G160" s="183"/>
      <c r="H160" s="183"/>
      <c r="I160" s="247"/>
      <c r="J160" s="223"/>
    </row>
    <row r="161" spans="1:10">
      <c r="A161" s="163" t="s">
        <v>29</v>
      </c>
      <c r="B161" s="530" t="s">
        <v>90</v>
      </c>
      <c r="C161" s="531"/>
      <c r="D161" s="530" t="s">
        <v>83</v>
      </c>
      <c r="E161" s="531"/>
      <c r="F161" s="532">
        <f>ROUND((SUMIF($J$24:$J$114,A161,$I$24:$I$114))*0.83,0)</f>
        <v>0</v>
      </c>
      <c r="G161" s="533"/>
      <c r="H161" s="534"/>
      <c r="I161" s="136" t="str">
        <f>I$13</f>
        <v>75</v>
      </c>
      <c r="J161" s="197" t="str">
        <f>IF(F161&gt;0,MAX(0,I161-F161),"")</f>
        <v/>
      </c>
    </row>
    <row r="162" spans="1:10">
      <c r="A162" s="163" t="s">
        <v>82</v>
      </c>
      <c r="B162" s="530" t="s">
        <v>91</v>
      </c>
      <c r="C162" s="531"/>
      <c r="D162" s="530">
        <v>2</v>
      </c>
      <c r="E162" s="531"/>
      <c r="F162" s="532">
        <f>ROUND((SUMIF($J$24:$J$114,A162,$I$24:$I$114))*0.83,0)</f>
        <v>0</v>
      </c>
      <c r="G162" s="533"/>
      <c r="H162" s="534"/>
      <c r="I162" s="136" t="str">
        <f t="shared" ref="I162:I163" si="17">I$13</f>
        <v>75</v>
      </c>
      <c r="J162" s="197" t="str">
        <f>IF(F162&gt;0,MAX(0,I162-F162),"")</f>
        <v/>
      </c>
    </row>
    <row r="163" spans="1:10">
      <c r="A163" s="163" t="s">
        <v>92</v>
      </c>
      <c r="B163" s="530" t="s">
        <v>93</v>
      </c>
      <c r="C163" s="531"/>
      <c r="D163" s="530" t="s">
        <v>83</v>
      </c>
      <c r="E163" s="531"/>
      <c r="F163" s="532">
        <f>ROUND((SUMIF($J$24:$J$114,A163,$I$24:$I$114))*0.83,0)</f>
        <v>0</v>
      </c>
      <c r="G163" s="533"/>
      <c r="H163" s="534"/>
      <c r="I163" s="136" t="str">
        <f t="shared" si="17"/>
        <v>75</v>
      </c>
      <c r="J163" s="197" t="str">
        <f>IF(F163&gt;0,MAX(0,I163-F163),"")</f>
        <v/>
      </c>
    </row>
    <row r="164" spans="1:10">
      <c r="A164" s="174"/>
      <c r="B164" s="175"/>
      <c r="C164" s="175"/>
      <c r="D164" s="135"/>
      <c r="E164" s="135"/>
      <c r="F164" s="135"/>
      <c r="G164" s="135"/>
      <c r="H164" s="135"/>
      <c r="I164" s="221"/>
      <c r="J164" s="135"/>
    </row>
    <row r="165" spans="1:10" ht="16.5" hidden="1" customHeight="1">
      <c r="A165" s="173"/>
      <c r="B165" s="134"/>
      <c r="C165" s="134"/>
      <c r="D165" s="135"/>
      <c r="E165" s="135"/>
      <c r="F165" s="135"/>
      <c r="G165" s="135"/>
      <c r="H165" s="135"/>
      <c r="I165" s="221"/>
      <c r="J165" s="135"/>
    </row>
    <row r="166" spans="1:10" ht="21" hidden="1" customHeight="1">
      <c r="A166" s="176" t="s">
        <v>399</v>
      </c>
      <c r="B166" s="545" t="s">
        <v>375</v>
      </c>
      <c r="C166" s="546"/>
      <c r="D166" s="546"/>
      <c r="E166" s="546"/>
      <c r="F166" s="547">
        <f>SUMIF(A24:A114,"* Other competencies",I24:I114)</f>
        <v>0</v>
      </c>
      <c r="G166" s="548"/>
      <c r="H166" s="549"/>
      <c r="I166" s="189"/>
      <c r="J166" s="184"/>
    </row>
    <row r="167" spans="1:10" ht="21" customHeight="1">
      <c r="A167" s="190"/>
      <c r="B167" s="191"/>
      <c r="C167" s="191"/>
      <c r="D167" s="191"/>
      <c r="E167" s="191"/>
      <c r="F167" s="189"/>
      <c r="G167" s="189"/>
      <c r="H167" s="189"/>
      <c r="I167" s="189"/>
      <c r="J167" s="184"/>
    </row>
    <row r="168" spans="1:10" ht="21.75" customHeight="1">
      <c r="A168" s="190"/>
      <c r="B168" s="191"/>
      <c r="C168" s="134"/>
      <c r="D168" s="252" t="s">
        <v>484</v>
      </c>
      <c r="E168" s="191"/>
      <c r="F168" s="189"/>
      <c r="G168" s="189"/>
      <c r="H168" s="189"/>
      <c r="I168" s="189"/>
      <c r="J168" s="184"/>
    </row>
    <row r="169" spans="1:10" ht="21.75" customHeight="1">
      <c r="A169" s="190"/>
      <c r="B169" s="191"/>
      <c r="C169" s="134"/>
      <c r="D169" s="550" t="s">
        <v>413</v>
      </c>
      <c r="E169" s="550"/>
      <c r="F169" s="550"/>
      <c r="G169" s="550"/>
      <c r="H169" s="550"/>
      <c r="I169" s="189"/>
      <c r="J169" s="184"/>
    </row>
    <row r="170" spans="1:10" ht="15">
      <c r="A170" s="190"/>
      <c r="B170" s="134"/>
      <c r="C170" s="134"/>
      <c r="D170" s="134"/>
      <c r="E170" s="134"/>
      <c r="F170" s="134"/>
      <c r="G170" s="552" t="s">
        <v>547</v>
      </c>
      <c r="H170" s="552"/>
      <c r="I170" s="134"/>
      <c r="J170" s="134"/>
    </row>
    <row r="171" spans="1:10" ht="18.75" customHeight="1">
      <c r="A171" s="177"/>
      <c r="B171" s="551" t="s">
        <v>400</v>
      </c>
      <c r="C171" s="551"/>
      <c r="D171" s="160" t="s">
        <v>392</v>
      </c>
      <c r="E171" s="160" t="s">
        <v>393</v>
      </c>
      <c r="F171" s="160" t="s">
        <v>394</v>
      </c>
      <c r="G171" s="160" t="s">
        <v>395</v>
      </c>
      <c r="H171" s="160" t="s">
        <v>396</v>
      </c>
      <c r="I171" s="192"/>
      <c r="J171" s="161" t="s">
        <v>453</v>
      </c>
    </row>
    <row r="172" spans="1:10" ht="22.5" customHeight="1">
      <c r="A172" s="134"/>
      <c r="B172" s="543" t="s">
        <v>404</v>
      </c>
      <c r="C172" s="543"/>
      <c r="D172" s="198">
        <f>D120</f>
        <v>189</v>
      </c>
      <c r="E172" s="198">
        <f>E120</f>
        <v>40</v>
      </c>
      <c r="F172" s="198">
        <f>F120</f>
        <v>0</v>
      </c>
      <c r="G172" s="198">
        <f>G120</f>
        <v>0</v>
      </c>
      <c r="H172" s="198">
        <f>H120</f>
        <v>0</v>
      </c>
      <c r="I172" s="221"/>
      <c r="J172" s="198">
        <f>SUM(D172:H172)</f>
        <v>229</v>
      </c>
    </row>
    <row r="173" spans="1:10" ht="22.5" customHeight="1">
      <c r="A173" s="134"/>
      <c r="B173" s="543" t="s">
        <v>412</v>
      </c>
      <c r="C173" s="543"/>
      <c r="D173" s="181">
        <f>ROUND(D172*0.83,0)</f>
        <v>157</v>
      </c>
      <c r="E173" s="181">
        <f>ROUND(E172*0.83,0)</f>
        <v>33</v>
      </c>
      <c r="F173" s="181">
        <f t="shared" ref="F173:H173" si="18">ROUND(F172*0.83,0)</f>
        <v>0</v>
      </c>
      <c r="G173" s="181">
        <f t="shared" si="18"/>
        <v>0</v>
      </c>
      <c r="H173" s="181">
        <f t="shared" si="18"/>
        <v>0</v>
      </c>
      <c r="I173" s="221"/>
      <c r="J173" s="181">
        <f t="shared" ref="J173" si="19">SUM(D173:H173)</f>
        <v>190</v>
      </c>
    </row>
    <row r="174" spans="1:10" ht="22.5" customHeight="1">
      <c r="A174" s="134"/>
      <c r="B174" s="543" t="s">
        <v>490</v>
      </c>
      <c r="C174" s="543"/>
      <c r="D174" s="161">
        <v>130</v>
      </c>
      <c r="E174" s="161">
        <v>130</v>
      </c>
      <c r="F174" s="161">
        <v>130</v>
      </c>
      <c r="G174" s="161">
        <v>130</v>
      </c>
      <c r="H174" s="161">
        <v>130</v>
      </c>
      <c r="I174" s="136" t="str">
        <f>I14</f>
        <v>500</v>
      </c>
      <c r="J174" s="250" t="s">
        <v>478</v>
      </c>
    </row>
    <row r="175" spans="1:10" ht="21" customHeight="1" thickBot="1">
      <c r="A175" s="134"/>
      <c r="B175" s="544" t="s">
        <v>491</v>
      </c>
      <c r="C175" s="544"/>
      <c r="D175" s="199">
        <f>MAX(0,D174-D173)</f>
        <v>0</v>
      </c>
      <c r="E175" s="199">
        <f t="shared" ref="E175:H175" si="20">MAX(0,E174-E173)</f>
        <v>97</v>
      </c>
      <c r="F175" s="199">
        <f t="shared" si="20"/>
        <v>130</v>
      </c>
      <c r="G175" s="199">
        <f t="shared" si="20"/>
        <v>130</v>
      </c>
      <c r="H175" s="199">
        <f t="shared" si="20"/>
        <v>130</v>
      </c>
      <c r="I175" s="193"/>
      <c r="J175" s="249">
        <f>MAX(0,I174-J173)</f>
        <v>310</v>
      </c>
    </row>
    <row r="176" spans="1:10" ht="15.75" customHeight="1" thickTop="1">
      <c r="A176" s="134"/>
      <c r="B176" s="134"/>
      <c r="C176" s="136"/>
      <c r="D176" s="136"/>
      <c r="E176" s="136"/>
      <c r="F176" s="136"/>
      <c r="G176" s="136"/>
      <c r="H176" s="136"/>
      <c r="I176" s="136"/>
      <c r="J176" s="135"/>
    </row>
    <row r="177" spans="1:10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  <row r="178" spans="1:10">
      <c r="A178" s="134"/>
      <c r="B178" s="134"/>
      <c r="C178" s="134"/>
      <c r="D178" s="136"/>
      <c r="E178" s="136"/>
      <c r="F178" s="136"/>
      <c r="G178" s="136"/>
      <c r="H178" s="136"/>
      <c r="I178" s="136"/>
      <c r="J178" s="135"/>
    </row>
    <row r="179" spans="1:10">
      <c r="A179" s="134"/>
      <c r="B179" s="134"/>
      <c r="C179" s="134"/>
      <c r="D179" s="136"/>
      <c r="E179" s="136"/>
      <c r="F179" s="136"/>
      <c r="G179" s="136"/>
      <c r="H179" s="136"/>
      <c r="I179" s="136"/>
      <c r="J179" s="135"/>
    </row>
    <row r="180" spans="1:10">
      <c r="A180" s="134"/>
      <c r="B180" s="134"/>
      <c r="C180" s="134"/>
      <c r="D180" s="136"/>
      <c r="E180" s="136"/>
      <c r="F180" s="136"/>
      <c r="G180" s="136"/>
      <c r="H180" s="136"/>
      <c r="I180" s="136"/>
      <c r="J180" s="135"/>
    </row>
  </sheetData>
  <mergeCells count="87">
    <mergeCell ref="B173:C173"/>
    <mergeCell ref="B174:C174"/>
    <mergeCell ref="B175:C175"/>
    <mergeCell ref="B166:E166"/>
    <mergeCell ref="F166:H166"/>
    <mergeCell ref="D169:H169"/>
    <mergeCell ref="B171:C171"/>
    <mergeCell ref="B172:C172"/>
    <mergeCell ref="G170:H170"/>
    <mergeCell ref="B162:C162"/>
    <mergeCell ref="D162:E162"/>
    <mergeCell ref="F162:H162"/>
    <mergeCell ref="B163:C163"/>
    <mergeCell ref="D163:E163"/>
    <mergeCell ref="F163:H163"/>
    <mergeCell ref="B158:C158"/>
    <mergeCell ref="D158:E158"/>
    <mergeCell ref="F158:H158"/>
    <mergeCell ref="B161:C161"/>
    <mergeCell ref="D161:E161"/>
    <mergeCell ref="F161:H161"/>
    <mergeCell ref="A159:C160"/>
    <mergeCell ref="B156:C156"/>
    <mergeCell ref="D156:E156"/>
    <mergeCell ref="F156:H156"/>
    <mergeCell ref="B157:C157"/>
    <mergeCell ref="D157:E157"/>
    <mergeCell ref="F157:H157"/>
    <mergeCell ref="B152:C152"/>
    <mergeCell ref="D152:E152"/>
    <mergeCell ref="F152:H152"/>
    <mergeCell ref="B153:C153"/>
    <mergeCell ref="D153:E153"/>
    <mergeCell ref="F153:H153"/>
    <mergeCell ref="B148:C148"/>
    <mergeCell ref="D148:E148"/>
    <mergeCell ref="F148:H148"/>
    <mergeCell ref="B151:C151"/>
    <mergeCell ref="D151:E151"/>
    <mergeCell ref="F151:H151"/>
    <mergeCell ref="B146:C146"/>
    <mergeCell ref="D146:E146"/>
    <mergeCell ref="F146:H146"/>
    <mergeCell ref="B147:C147"/>
    <mergeCell ref="D147:E147"/>
    <mergeCell ref="F147:H147"/>
    <mergeCell ref="B142:C142"/>
    <mergeCell ref="D142:E142"/>
    <mergeCell ref="F142:H142"/>
    <mergeCell ref="B143:C143"/>
    <mergeCell ref="D143:E143"/>
    <mergeCell ref="F143:H143"/>
    <mergeCell ref="B138:C138"/>
    <mergeCell ref="D138:E138"/>
    <mergeCell ref="F138:H138"/>
    <mergeCell ref="B141:C141"/>
    <mergeCell ref="D141:E141"/>
    <mergeCell ref="F141:H141"/>
    <mergeCell ref="G118:H118"/>
    <mergeCell ref="B136:C136"/>
    <mergeCell ref="D136:E136"/>
    <mergeCell ref="F136:H136"/>
    <mergeCell ref="B137:C137"/>
    <mergeCell ref="D137:E137"/>
    <mergeCell ref="F137:H137"/>
    <mergeCell ref="B119:C119"/>
    <mergeCell ref="B120:C120"/>
    <mergeCell ref="A131:J131"/>
    <mergeCell ref="I133:I135"/>
    <mergeCell ref="J133:J135"/>
    <mergeCell ref="D134:E135"/>
    <mergeCell ref="F134:H135"/>
    <mergeCell ref="D63:H63"/>
    <mergeCell ref="J63:J65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3"/>
    <mergeCell ref="J21:J23"/>
    <mergeCell ref="G22:H22"/>
    <mergeCell ref="G64:H64"/>
  </mergeCells>
  <phoneticPr fontId="2" type="noConversion"/>
  <dataValidations count="1">
    <dataValidation type="list" showInputMessage="1" showErrorMessage="1" sqref="A13:B13" xr:uid="{00000000-0002-0000-0B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54" fitToHeight="4" orientation="portrait" horizontalDpi="300" verticalDpi="300" r:id="rId1"/>
  <headerFooter>
    <oddFooter>&amp;C&amp;"Arial,Regular"&amp;10Page &amp;P of &amp;N</oddFooter>
  </headerFooter>
  <rowBreaks count="2" manualBreakCount="2">
    <brk id="71" max="10" man="1"/>
    <brk id="153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1"/>
  </sheetPr>
  <dimension ref="A1:A4"/>
  <sheetViews>
    <sheetView workbookViewId="0">
      <selection activeCell="H27" sqref="H27"/>
    </sheetView>
  </sheetViews>
  <sheetFormatPr defaultColWidth="9" defaultRowHeight="15"/>
  <cols>
    <col min="1" max="16384" width="9" style="1"/>
  </cols>
  <sheetData>
    <row r="1" spans="1:1">
      <c r="A1" s="1" t="s">
        <v>125</v>
      </c>
    </row>
    <row r="3" spans="1:1">
      <c r="A3" s="1" t="s">
        <v>140</v>
      </c>
    </row>
    <row r="4" spans="1:1">
      <c r="A4" s="1" t="s">
        <v>153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177"/>
  <sheetViews>
    <sheetView view="pageBreakPreview" topLeftCell="A19" zoomScale="90" zoomScaleNormal="60" zoomScaleSheetLayoutView="90" workbookViewId="0">
      <selection activeCell="D170" sqref="D170"/>
    </sheetView>
  </sheetViews>
  <sheetFormatPr defaultColWidth="9" defaultRowHeight="15.75"/>
  <cols>
    <col min="1" max="1" width="23.5" style="1" customWidth="1"/>
    <col min="2" max="2" width="54.625" style="1" customWidth="1"/>
    <col min="3" max="3" width="16.125" style="1" customWidth="1"/>
    <col min="4" max="4" width="7.5" style="122" customWidth="1"/>
    <col min="5" max="8" width="7.5" style="122" bestFit="1" customWidth="1"/>
    <col min="9" max="9" width="7.875" style="122" hidden="1" customWidth="1"/>
    <col min="10" max="10" width="16.5" style="2" customWidth="1"/>
    <col min="11" max="11" width="0.5" style="1" hidden="1" customWidth="1"/>
    <col min="12" max="16384" width="9" style="1"/>
  </cols>
  <sheetData>
    <row r="1" spans="1:11" ht="42" customHeight="1">
      <c r="A1" s="451" t="s">
        <v>407</v>
      </c>
      <c r="B1" s="451"/>
      <c r="C1" s="451"/>
      <c r="D1" s="451"/>
      <c r="E1" s="451"/>
      <c r="F1" s="451"/>
      <c r="G1" s="451"/>
      <c r="H1" s="451"/>
      <c r="I1" s="451"/>
      <c r="J1" s="451"/>
    </row>
    <row r="3" spans="1:11" ht="21.75" customHeight="1">
      <c r="A3" s="2" t="s">
        <v>382</v>
      </c>
    </row>
    <row r="4" spans="1:11" ht="21.75" customHeight="1">
      <c r="A4" s="1" t="s">
        <v>475</v>
      </c>
    </row>
    <row r="5" spans="1:11" ht="37.5" customHeight="1">
      <c r="A5" s="427" t="s">
        <v>476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</row>
    <row r="6" spans="1:11" ht="22.5" customHeight="1">
      <c r="A6" s="427" t="s">
        <v>473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</row>
    <row r="7" spans="1:11" ht="35.25" hidden="1" customHeight="1">
      <c r="A7" s="427" t="s">
        <v>384</v>
      </c>
      <c r="B7" s="427"/>
      <c r="C7" s="427"/>
      <c r="D7" s="427"/>
      <c r="E7" s="427"/>
      <c r="F7" s="427"/>
      <c r="G7" s="427"/>
      <c r="H7" s="427"/>
      <c r="I7" s="427"/>
      <c r="J7" s="427"/>
    </row>
    <row r="8" spans="1:11" ht="34.5" customHeight="1">
      <c r="A8" s="427" t="s">
        <v>477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</row>
    <row r="9" spans="1:11" ht="22.5" customHeight="1">
      <c r="A9" s="427" t="s">
        <v>487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</row>
    <row r="10" spans="1:11" ht="22.5" customHeight="1">
      <c r="A10" s="427" t="s">
        <v>474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27"/>
    </row>
    <row r="11" spans="1:11" ht="22.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25.5" customHeight="1">
      <c r="A12" s="251" t="s">
        <v>479</v>
      </c>
      <c r="B12" s="37"/>
      <c r="C12" s="37"/>
      <c r="D12" s="37"/>
      <c r="E12" s="37"/>
      <c r="F12" s="37"/>
      <c r="G12" s="37"/>
      <c r="H12" s="37"/>
      <c r="I12" s="246"/>
      <c r="J12" s="37"/>
      <c r="K12" s="37"/>
    </row>
    <row r="13" spans="1:11" ht="29.25" customHeight="1">
      <c r="A13" s="521" t="s">
        <v>471</v>
      </c>
      <c r="B13" s="522"/>
      <c r="D13" s="1"/>
      <c r="E13" s="1"/>
      <c r="F13" s="37"/>
      <c r="G13" s="37"/>
      <c r="H13" s="248"/>
      <c r="I13" s="246" t="str">
        <f>IF(A13="Approved degree holders/ QP students graduated from the Associate Level","75","")&amp;IF(A13="Approved accountancy diploma holders","100","")&amp;IF(A13="Other academic qualifications","124","")</f>
        <v>75</v>
      </c>
      <c r="J13" s="37"/>
      <c r="K13" s="37"/>
    </row>
    <row r="14" spans="1:11" ht="19.5" customHeight="1">
      <c r="A14" s="120"/>
      <c r="B14" s="246"/>
      <c r="C14" s="37"/>
      <c r="D14" s="37"/>
      <c r="E14" s="37"/>
      <c r="F14" s="37"/>
      <c r="G14" s="37"/>
      <c r="H14" s="248"/>
      <c r="I14" s="246" t="str">
        <f>IF(A13="Approved degree holders/ QP students graduated from the Associate Level","500","")&amp;IF(A13="Approved accountancy diploma holders","670","")&amp;IF(A13="Other academic qualifications","830","")</f>
        <v>500</v>
      </c>
      <c r="J14" s="37"/>
      <c r="K14" s="37"/>
    </row>
    <row r="15" spans="1:11" hidden="1">
      <c r="A15" s="120"/>
      <c r="B15" s="253" t="s">
        <v>472</v>
      </c>
      <c r="D15" s="1"/>
      <c r="E15" s="1"/>
      <c r="F15" s="1"/>
      <c r="G15" s="1"/>
      <c r="H15" s="1"/>
      <c r="J15" s="1"/>
    </row>
    <row r="16" spans="1:11" hidden="1">
      <c r="A16" s="120"/>
      <c r="B16" s="1" t="s">
        <v>471</v>
      </c>
      <c r="D16" s="1"/>
      <c r="E16" s="1"/>
      <c r="F16" s="1"/>
      <c r="G16" s="1"/>
      <c r="H16" s="1"/>
      <c r="J16" s="1"/>
    </row>
    <row r="17" spans="1:11" ht="15" hidden="1">
      <c r="A17" s="37"/>
      <c r="B17" s="37" t="s">
        <v>387</v>
      </c>
      <c r="C17" s="37"/>
      <c r="D17" s="37"/>
      <c r="E17" s="37"/>
      <c r="F17" s="37"/>
      <c r="G17" s="37"/>
      <c r="H17" s="37"/>
      <c r="I17" s="246"/>
      <c r="J17" s="37"/>
      <c r="K17" s="37"/>
    </row>
    <row r="18" spans="1:11" ht="15" hidden="1">
      <c r="A18" s="37"/>
      <c r="B18" s="37" t="s">
        <v>470</v>
      </c>
      <c r="C18" s="37"/>
      <c r="D18" s="37"/>
      <c r="E18" s="37"/>
      <c r="F18" s="37"/>
      <c r="G18" s="37"/>
      <c r="H18" s="37"/>
      <c r="I18" s="246"/>
      <c r="J18" s="37"/>
      <c r="K18" s="37"/>
    </row>
    <row r="19" spans="1:11" ht="15.75" customHeight="1">
      <c r="A19" s="24"/>
      <c r="B19" s="24"/>
      <c r="C19" s="24"/>
      <c r="D19" s="24"/>
      <c r="E19" s="24"/>
      <c r="F19" s="24"/>
      <c r="G19" s="24"/>
      <c r="H19" s="24"/>
      <c r="I19" s="187"/>
      <c r="J19" s="24"/>
      <c r="K19" s="24"/>
    </row>
    <row r="20" spans="1:11" ht="33" customHeight="1">
      <c r="A20" s="129" t="s">
        <v>480</v>
      </c>
      <c r="B20" s="130"/>
      <c r="C20" s="130"/>
      <c r="D20" s="131"/>
      <c r="E20" s="131"/>
      <c r="F20" s="131"/>
      <c r="G20" s="131"/>
      <c r="H20" s="131"/>
      <c r="I20" s="131"/>
      <c r="J20" s="132"/>
    </row>
    <row r="21" spans="1:11" ht="30" customHeight="1">
      <c r="A21" s="178" t="s">
        <v>481</v>
      </c>
      <c r="B21" s="130"/>
      <c r="C21" s="130"/>
      <c r="D21" s="518" t="s">
        <v>357</v>
      </c>
      <c r="E21" s="518"/>
      <c r="F21" s="518"/>
      <c r="G21" s="518"/>
      <c r="H21" s="518"/>
      <c r="I21" s="523" t="s">
        <v>397</v>
      </c>
      <c r="J21" s="519" t="s">
        <v>359</v>
      </c>
    </row>
    <row r="22" spans="1:11">
      <c r="A22" s="137" t="s">
        <v>360</v>
      </c>
      <c r="B22" s="138"/>
      <c r="C22" s="137" t="s">
        <v>370</v>
      </c>
      <c r="D22" s="222" t="s">
        <v>392</v>
      </c>
      <c r="E22" s="222" t="s">
        <v>393</v>
      </c>
      <c r="F22" s="222" t="s">
        <v>394</v>
      </c>
      <c r="G22" s="222" t="s">
        <v>395</v>
      </c>
      <c r="H22" s="222" t="s">
        <v>396</v>
      </c>
      <c r="I22" s="524"/>
      <c r="J22" s="520"/>
      <c r="K22" s="123"/>
    </row>
    <row r="23" spans="1:11" ht="60">
      <c r="A23" s="139" t="s">
        <v>0</v>
      </c>
      <c r="B23" s="140" t="s">
        <v>374</v>
      </c>
      <c r="C23" s="141" t="s">
        <v>371</v>
      </c>
      <c r="D23" s="182">
        <v>100</v>
      </c>
      <c r="E23" s="182"/>
      <c r="F23" s="182"/>
      <c r="G23" s="182"/>
      <c r="H23" s="182"/>
      <c r="I23" s="182">
        <f>SUM(D23:H23)</f>
        <v>100</v>
      </c>
      <c r="J23" s="160" t="s">
        <v>27</v>
      </c>
      <c r="K23" s="6"/>
    </row>
    <row r="24" spans="1:11" ht="75">
      <c r="A24" s="142" t="s">
        <v>2</v>
      </c>
      <c r="B24" s="143" t="s">
        <v>30</v>
      </c>
      <c r="C24" s="144" t="s">
        <v>372</v>
      </c>
      <c r="D24" s="124">
        <v>100</v>
      </c>
      <c r="E24" s="124"/>
      <c r="F24" s="124"/>
      <c r="G24" s="124"/>
      <c r="H24" s="124"/>
      <c r="I24" s="182">
        <f t="shared" ref="I24:I27" si="0">SUM(D24:H24)</f>
        <v>100</v>
      </c>
      <c r="J24" s="160" t="s">
        <v>26</v>
      </c>
      <c r="K24" s="6"/>
    </row>
    <row r="25" spans="1:11">
      <c r="A25" s="142" t="s">
        <v>4</v>
      </c>
      <c r="B25" s="145" t="s">
        <v>31</v>
      </c>
      <c r="C25" s="141" t="s">
        <v>371</v>
      </c>
      <c r="D25" s="124">
        <v>20</v>
      </c>
      <c r="E25" s="124"/>
      <c r="F25" s="124"/>
      <c r="G25" s="124"/>
      <c r="H25" s="124"/>
      <c r="I25" s="182">
        <f t="shared" si="0"/>
        <v>20</v>
      </c>
      <c r="J25" s="160" t="s">
        <v>27</v>
      </c>
      <c r="K25" s="6"/>
    </row>
    <row r="26" spans="1:11" ht="45">
      <c r="A26" s="142" t="s">
        <v>6</v>
      </c>
      <c r="B26" s="143" t="s">
        <v>32</v>
      </c>
      <c r="C26" s="141" t="s">
        <v>371</v>
      </c>
      <c r="D26" s="124"/>
      <c r="E26" s="124"/>
      <c r="F26" s="124"/>
      <c r="G26" s="124"/>
      <c r="H26" s="124"/>
      <c r="I26" s="182">
        <f t="shared" si="0"/>
        <v>0</v>
      </c>
      <c r="J26" s="160" t="s">
        <v>28</v>
      </c>
      <c r="K26" s="121"/>
    </row>
    <row r="27" spans="1:11" ht="15" hidden="1">
      <c r="A27" s="142" t="s">
        <v>373</v>
      </c>
      <c r="B27" s="127" t="s">
        <v>361</v>
      </c>
      <c r="C27" s="128" t="s">
        <v>361</v>
      </c>
      <c r="D27" s="125"/>
      <c r="E27" s="125"/>
      <c r="F27" s="125"/>
      <c r="G27" s="125"/>
      <c r="H27" s="125"/>
      <c r="I27" s="182">
        <f t="shared" si="0"/>
        <v>0</v>
      </c>
      <c r="J27" s="125"/>
      <c r="K27" s="121"/>
    </row>
    <row r="28" spans="1:11">
      <c r="A28" s="146"/>
      <c r="B28" s="147"/>
      <c r="C28" s="148"/>
      <c r="D28" s="149"/>
      <c r="E28" s="149"/>
      <c r="F28" s="149"/>
      <c r="G28" s="149"/>
      <c r="H28" s="149"/>
      <c r="I28" s="149"/>
      <c r="J28" s="150"/>
      <c r="K28" s="121"/>
    </row>
    <row r="29" spans="1:11">
      <c r="A29" s="151" t="s">
        <v>164</v>
      </c>
      <c r="B29" s="152"/>
      <c r="C29" s="152"/>
      <c r="D29" s="153"/>
      <c r="E29" s="153"/>
      <c r="F29" s="153"/>
      <c r="G29" s="153"/>
      <c r="H29" s="153"/>
      <c r="I29" s="153"/>
      <c r="J29" s="224"/>
      <c r="K29" s="121"/>
    </row>
    <row r="30" spans="1:11">
      <c r="A30" s="142" t="s">
        <v>0</v>
      </c>
      <c r="B30" s="145" t="s">
        <v>33</v>
      </c>
      <c r="C30" s="144" t="s">
        <v>371</v>
      </c>
      <c r="D30" s="125"/>
      <c r="E30" s="125"/>
      <c r="F30" s="125"/>
      <c r="G30" s="125"/>
      <c r="H30" s="125"/>
      <c r="I30" s="182">
        <f t="shared" ref="I30:I34" si="1">SUM(D30:H30)</f>
        <v>0</v>
      </c>
      <c r="J30" s="160" t="s">
        <v>358</v>
      </c>
      <c r="K30" s="121"/>
    </row>
    <row r="31" spans="1:11">
      <c r="A31" s="142" t="s">
        <v>2</v>
      </c>
      <c r="B31" s="145" t="s">
        <v>34</v>
      </c>
      <c r="C31" s="144" t="s">
        <v>372</v>
      </c>
      <c r="D31" s="125"/>
      <c r="E31" s="125"/>
      <c r="F31" s="125"/>
      <c r="G31" s="125"/>
      <c r="H31" s="125"/>
      <c r="I31" s="182">
        <f t="shared" si="1"/>
        <v>0</v>
      </c>
      <c r="J31" s="160" t="s">
        <v>26</v>
      </c>
    </row>
    <row r="32" spans="1:11">
      <c r="A32" s="142" t="s">
        <v>3</v>
      </c>
      <c r="B32" s="145" t="s">
        <v>31</v>
      </c>
      <c r="C32" s="144" t="s">
        <v>371</v>
      </c>
      <c r="D32" s="125"/>
      <c r="E32" s="125"/>
      <c r="F32" s="125"/>
      <c r="G32" s="125"/>
      <c r="H32" s="125"/>
      <c r="I32" s="182">
        <f t="shared" si="1"/>
        <v>0</v>
      </c>
      <c r="J32" s="160" t="s">
        <v>27</v>
      </c>
    </row>
    <row r="33" spans="1:11">
      <c r="A33" s="142" t="s">
        <v>5</v>
      </c>
      <c r="B33" s="145" t="s">
        <v>35</v>
      </c>
      <c r="C33" s="144" t="s">
        <v>371</v>
      </c>
      <c r="D33" s="125"/>
      <c r="E33" s="125"/>
      <c r="F33" s="125"/>
      <c r="G33" s="125"/>
      <c r="H33" s="125"/>
      <c r="I33" s="182">
        <f t="shared" si="1"/>
        <v>0</v>
      </c>
      <c r="J33" s="160" t="s">
        <v>28</v>
      </c>
      <c r="K33" s="6"/>
    </row>
    <row r="34" spans="1:11" ht="15" hidden="1">
      <c r="A34" s="142" t="s">
        <v>373</v>
      </c>
      <c r="B34" s="127" t="s">
        <v>361</v>
      </c>
      <c r="C34" s="128" t="s">
        <v>361</v>
      </c>
      <c r="D34" s="125"/>
      <c r="E34" s="125"/>
      <c r="F34" s="125"/>
      <c r="G34" s="125"/>
      <c r="H34" s="125"/>
      <c r="I34" s="182">
        <f t="shared" si="1"/>
        <v>0</v>
      </c>
      <c r="J34" s="125"/>
      <c r="K34" s="6"/>
    </row>
    <row r="35" spans="1:11" ht="15">
      <c r="A35" s="146"/>
      <c r="B35" s="146"/>
      <c r="C35" s="146"/>
      <c r="D35" s="154"/>
      <c r="E35" s="154"/>
      <c r="F35" s="154"/>
      <c r="G35" s="154"/>
      <c r="H35" s="154"/>
      <c r="I35" s="154"/>
      <c r="J35" s="146"/>
      <c r="K35" s="6"/>
    </row>
    <row r="36" spans="1:11">
      <c r="A36" s="151" t="s">
        <v>165</v>
      </c>
      <c r="B36" s="147"/>
      <c r="C36" s="148"/>
      <c r="D36" s="149"/>
      <c r="E36" s="149"/>
      <c r="F36" s="149"/>
      <c r="G36" s="149"/>
      <c r="H36" s="149"/>
      <c r="I36" s="149"/>
      <c r="J36" s="150"/>
      <c r="K36" s="6"/>
    </row>
    <row r="37" spans="1:11">
      <c r="A37" s="142" t="s">
        <v>0</v>
      </c>
      <c r="B37" s="145" t="s">
        <v>36</v>
      </c>
      <c r="C37" s="144" t="s">
        <v>372</v>
      </c>
      <c r="D37" s="125"/>
      <c r="E37" s="125">
        <v>100</v>
      </c>
      <c r="F37" s="125">
        <v>20</v>
      </c>
      <c r="G37" s="125"/>
      <c r="H37" s="125"/>
      <c r="I37" s="182">
        <f t="shared" ref="I37:I43" si="2">SUM(D37:H37)</f>
        <v>120</v>
      </c>
      <c r="J37" s="160" t="s">
        <v>14</v>
      </c>
    </row>
    <row r="38" spans="1:11">
      <c r="A38" s="142" t="s">
        <v>2</v>
      </c>
      <c r="B38" s="145" t="s">
        <v>37</v>
      </c>
      <c r="C38" s="144" t="s">
        <v>372</v>
      </c>
      <c r="D38" s="125"/>
      <c r="E38" s="125">
        <v>80</v>
      </c>
      <c r="F38" s="125"/>
      <c r="G38" s="125"/>
      <c r="H38" s="125"/>
      <c r="I38" s="182">
        <f t="shared" si="2"/>
        <v>80</v>
      </c>
      <c r="J38" s="160" t="s">
        <v>14</v>
      </c>
    </row>
    <row r="39" spans="1:11">
      <c r="A39" s="142" t="s">
        <v>4</v>
      </c>
      <c r="B39" s="145" t="s">
        <v>38</v>
      </c>
      <c r="C39" s="144" t="s">
        <v>371</v>
      </c>
      <c r="D39" s="125"/>
      <c r="E39" s="125"/>
      <c r="F39" s="125">
        <v>30</v>
      </c>
      <c r="G39" s="125"/>
      <c r="H39" s="125"/>
      <c r="I39" s="182">
        <f t="shared" si="2"/>
        <v>30</v>
      </c>
      <c r="J39" s="160" t="s">
        <v>16</v>
      </c>
    </row>
    <row r="40" spans="1:11">
      <c r="A40" s="142" t="s">
        <v>6</v>
      </c>
      <c r="B40" s="145" t="s">
        <v>39</v>
      </c>
      <c r="C40" s="144" t="s">
        <v>372</v>
      </c>
      <c r="D40" s="125"/>
      <c r="E40" s="125">
        <v>20</v>
      </c>
      <c r="F40" s="125"/>
      <c r="G40" s="125"/>
      <c r="H40" s="125"/>
      <c r="I40" s="182">
        <f t="shared" si="2"/>
        <v>20</v>
      </c>
      <c r="J40" s="160" t="s">
        <v>15</v>
      </c>
    </row>
    <row r="41" spans="1:11">
      <c r="A41" s="142" t="s">
        <v>8</v>
      </c>
      <c r="B41" s="145" t="s">
        <v>40</v>
      </c>
      <c r="C41" s="144" t="s">
        <v>372</v>
      </c>
      <c r="D41" s="125"/>
      <c r="E41" s="125">
        <v>20</v>
      </c>
      <c r="F41" s="125"/>
      <c r="G41" s="125"/>
      <c r="H41" s="125"/>
      <c r="I41" s="182">
        <f t="shared" si="2"/>
        <v>20</v>
      </c>
      <c r="J41" s="160" t="s">
        <v>16</v>
      </c>
    </row>
    <row r="42" spans="1:11">
      <c r="A42" s="142" t="s">
        <v>7</v>
      </c>
      <c r="B42" s="145" t="s">
        <v>41</v>
      </c>
      <c r="C42" s="144" t="s">
        <v>371</v>
      </c>
      <c r="D42" s="125"/>
      <c r="E42" s="125"/>
      <c r="F42" s="125"/>
      <c r="G42" s="125"/>
      <c r="H42" s="125"/>
      <c r="I42" s="182">
        <f t="shared" si="2"/>
        <v>0</v>
      </c>
      <c r="J42" s="160" t="s">
        <v>362</v>
      </c>
    </row>
    <row r="43" spans="1:11" ht="15" hidden="1">
      <c r="A43" s="142" t="s">
        <v>373</v>
      </c>
      <c r="B43" s="127" t="s">
        <v>361</v>
      </c>
      <c r="C43" s="128" t="s">
        <v>361</v>
      </c>
      <c r="D43" s="125"/>
      <c r="E43" s="125"/>
      <c r="F43" s="125"/>
      <c r="G43" s="125"/>
      <c r="H43" s="125"/>
      <c r="I43" s="182">
        <f t="shared" si="2"/>
        <v>0</v>
      </c>
      <c r="J43" s="125"/>
    </row>
    <row r="44" spans="1:11">
      <c r="A44" s="146"/>
      <c r="B44" s="147"/>
      <c r="C44" s="148"/>
      <c r="D44" s="149"/>
      <c r="E44" s="149"/>
      <c r="F44" s="149"/>
      <c r="G44" s="149"/>
      <c r="H44" s="149"/>
      <c r="I44" s="149"/>
      <c r="J44" s="150"/>
    </row>
    <row r="45" spans="1:11">
      <c r="A45" s="151" t="s">
        <v>166</v>
      </c>
      <c r="B45" s="130"/>
      <c r="C45" s="130"/>
      <c r="D45" s="131"/>
      <c r="E45" s="131"/>
      <c r="F45" s="131"/>
      <c r="G45" s="131"/>
      <c r="H45" s="131"/>
      <c r="I45" s="131"/>
      <c r="J45" s="155"/>
    </row>
    <row r="46" spans="1:11">
      <c r="A46" s="142" t="s">
        <v>0</v>
      </c>
      <c r="B46" s="145" t="s">
        <v>42</v>
      </c>
      <c r="C46" s="144" t="s">
        <v>371</v>
      </c>
      <c r="D46" s="125"/>
      <c r="E46" s="125"/>
      <c r="F46" s="125"/>
      <c r="G46" s="125"/>
      <c r="H46" s="125"/>
      <c r="I46" s="182">
        <f t="shared" ref="I46:I48" si="3">SUM(D46:H46)</f>
        <v>0</v>
      </c>
      <c r="J46" s="160" t="s">
        <v>80</v>
      </c>
    </row>
    <row r="47" spans="1:11">
      <c r="A47" s="142" t="s">
        <v>1</v>
      </c>
      <c r="B47" s="145" t="s">
        <v>43</v>
      </c>
      <c r="C47" s="144" t="s">
        <v>372</v>
      </c>
      <c r="D47" s="125"/>
      <c r="E47" s="125"/>
      <c r="F47" s="125"/>
      <c r="G47" s="125"/>
      <c r="H47" s="125"/>
      <c r="I47" s="182">
        <f t="shared" si="3"/>
        <v>0</v>
      </c>
      <c r="J47" s="160" t="s">
        <v>78</v>
      </c>
    </row>
    <row r="48" spans="1:11" ht="15" hidden="1">
      <c r="A48" s="142" t="s">
        <v>373</v>
      </c>
      <c r="B48" s="127" t="s">
        <v>361</v>
      </c>
      <c r="C48" s="128" t="s">
        <v>361</v>
      </c>
      <c r="D48" s="125"/>
      <c r="E48" s="125"/>
      <c r="F48" s="125"/>
      <c r="G48" s="125"/>
      <c r="H48" s="125"/>
      <c r="I48" s="182">
        <f t="shared" si="3"/>
        <v>0</v>
      </c>
      <c r="J48" s="125"/>
    </row>
    <row r="49" spans="1:10">
      <c r="A49" s="146"/>
      <c r="B49" s="147"/>
      <c r="C49" s="148"/>
      <c r="D49" s="149"/>
      <c r="E49" s="149"/>
      <c r="F49" s="149"/>
      <c r="G49" s="149"/>
      <c r="H49" s="149"/>
      <c r="I49" s="149"/>
      <c r="J49" s="150"/>
    </row>
    <row r="50" spans="1:10">
      <c r="A50" s="132" t="s">
        <v>167</v>
      </c>
      <c r="B50" s="130"/>
      <c r="C50" s="130"/>
      <c r="D50" s="131"/>
      <c r="E50" s="131"/>
      <c r="F50" s="131"/>
      <c r="G50" s="131"/>
      <c r="H50" s="131"/>
      <c r="I50" s="131"/>
      <c r="J50" s="155"/>
    </row>
    <row r="51" spans="1:10">
      <c r="A51" s="156" t="s">
        <v>364</v>
      </c>
      <c r="B51" s="157" t="s">
        <v>44</v>
      </c>
      <c r="C51" s="144" t="s">
        <v>372</v>
      </c>
      <c r="D51" s="126"/>
      <c r="E51" s="126"/>
      <c r="F51" s="126"/>
      <c r="G51" s="126"/>
      <c r="H51" s="126"/>
      <c r="I51" s="182">
        <f t="shared" ref="I51:I54" si="4">SUM(D51:H51)</f>
        <v>0</v>
      </c>
      <c r="J51" s="161" t="s">
        <v>365</v>
      </c>
    </row>
    <row r="52" spans="1:10">
      <c r="A52" s="156" t="s">
        <v>2</v>
      </c>
      <c r="B52" s="158" t="s">
        <v>363</v>
      </c>
      <c r="C52" s="144" t="s">
        <v>372</v>
      </c>
      <c r="D52" s="126"/>
      <c r="E52" s="126"/>
      <c r="F52" s="126"/>
      <c r="G52" s="126"/>
      <c r="H52" s="126"/>
      <c r="I52" s="182">
        <f t="shared" si="4"/>
        <v>0</v>
      </c>
      <c r="J52" s="161" t="s">
        <v>366</v>
      </c>
    </row>
    <row r="53" spans="1:10">
      <c r="A53" s="156" t="s">
        <v>4</v>
      </c>
      <c r="B53" s="157" t="s">
        <v>45</v>
      </c>
      <c r="C53" s="144" t="s">
        <v>372</v>
      </c>
      <c r="D53" s="126"/>
      <c r="E53" s="126"/>
      <c r="F53" s="126"/>
      <c r="G53" s="126"/>
      <c r="H53" s="126"/>
      <c r="I53" s="182">
        <f t="shared" si="4"/>
        <v>0</v>
      </c>
      <c r="J53" s="161" t="s">
        <v>19</v>
      </c>
    </row>
    <row r="54" spans="1:10" ht="15" hidden="1">
      <c r="A54" s="142" t="s">
        <v>373</v>
      </c>
      <c r="B54" s="127" t="s">
        <v>361</v>
      </c>
      <c r="C54" s="128" t="s">
        <v>361</v>
      </c>
      <c r="D54" s="125"/>
      <c r="E54" s="125"/>
      <c r="F54" s="125"/>
      <c r="G54" s="125"/>
      <c r="H54" s="125"/>
      <c r="I54" s="182">
        <f t="shared" si="4"/>
        <v>0</v>
      </c>
      <c r="J54" s="125"/>
    </row>
    <row r="55" spans="1:10" ht="15">
      <c r="A55" s="146"/>
      <c r="B55" s="179"/>
      <c r="C55" s="180"/>
      <c r="D55" s="154"/>
      <c r="E55" s="154"/>
      <c r="F55" s="154"/>
      <c r="G55" s="154"/>
      <c r="H55" s="154"/>
      <c r="I55" s="154"/>
      <c r="J55" s="154"/>
    </row>
    <row r="56" spans="1:10" ht="15">
      <c r="A56" s="159" t="s">
        <v>383</v>
      </c>
      <c r="B56" s="147"/>
      <c r="C56" s="148"/>
      <c r="D56" s="149"/>
      <c r="E56" s="149"/>
      <c r="F56" s="149"/>
      <c r="G56" s="149"/>
      <c r="H56" s="149"/>
      <c r="I56" s="149"/>
      <c r="J56" s="166"/>
    </row>
    <row r="57" spans="1:10" ht="8.25" customHeight="1">
      <c r="A57" s="159"/>
      <c r="B57" s="147"/>
      <c r="C57" s="148"/>
      <c r="D57" s="149"/>
      <c r="E57" s="149"/>
      <c r="F57" s="149"/>
      <c r="G57" s="149"/>
      <c r="H57" s="149"/>
      <c r="I57" s="149"/>
      <c r="J57" s="166"/>
    </row>
    <row r="58" spans="1:10" ht="15">
      <c r="A58" s="194" t="s">
        <v>468</v>
      </c>
      <c r="B58" s="147"/>
      <c r="C58" s="148"/>
      <c r="D58" s="149"/>
      <c r="E58" s="149"/>
      <c r="F58" s="149"/>
      <c r="G58" s="149"/>
      <c r="H58" s="149"/>
      <c r="I58" s="149"/>
      <c r="J58" s="166"/>
    </row>
    <row r="59" spans="1:10" ht="15">
      <c r="A59" s="159"/>
      <c r="B59" s="147"/>
      <c r="C59" s="148"/>
      <c r="D59" s="149"/>
      <c r="E59" s="149"/>
      <c r="F59" s="149"/>
      <c r="G59" s="149"/>
      <c r="H59" s="149"/>
      <c r="I59" s="149"/>
      <c r="J59" s="166"/>
    </row>
    <row r="60" spans="1:10" ht="15">
      <c r="A60" s="185"/>
      <c r="B60" s="186"/>
      <c r="C60" s="24"/>
      <c r="D60" s="187"/>
      <c r="E60" s="187"/>
      <c r="F60" s="187"/>
      <c r="G60" s="187"/>
      <c r="H60" s="187"/>
      <c r="I60" s="187"/>
      <c r="J60" s="5"/>
    </row>
    <row r="61" spans="1:10">
      <c r="A61" s="159"/>
      <c r="B61" s="147"/>
      <c r="C61" s="148"/>
      <c r="D61" s="149"/>
      <c r="E61" s="149"/>
      <c r="F61" s="149"/>
      <c r="G61" s="149"/>
      <c r="H61" s="149"/>
      <c r="I61" s="149"/>
      <c r="J61" s="150"/>
    </row>
    <row r="62" spans="1:10" ht="42.75" customHeight="1">
      <c r="A62" s="178" t="s">
        <v>482</v>
      </c>
      <c r="B62" s="147"/>
      <c r="C62" s="148"/>
      <c r="D62" s="518" t="s">
        <v>357</v>
      </c>
      <c r="E62" s="518"/>
      <c r="F62" s="518"/>
      <c r="G62" s="518"/>
      <c r="H62" s="518"/>
      <c r="I62" s="224"/>
      <c r="J62" s="519" t="s">
        <v>359</v>
      </c>
    </row>
    <row r="63" spans="1:10">
      <c r="A63" s="151" t="s">
        <v>164</v>
      </c>
      <c r="B63" s="152"/>
      <c r="C63" s="137" t="s">
        <v>370</v>
      </c>
      <c r="D63" s="222" t="s">
        <v>392</v>
      </c>
      <c r="E63" s="222" t="s">
        <v>393</v>
      </c>
      <c r="F63" s="222" t="s">
        <v>394</v>
      </c>
      <c r="G63" s="222" t="s">
        <v>395</v>
      </c>
      <c r="H63" s="222" t="s">
        <v>396</v>
      </c>
      <c r="I63" s="222"/>
      <c r="J63" s="520"/>
    </row>
    <row r="64" spans="1:10">
      <c r="A64" s="142" t="s">
        <v>0</v>
      </c>
      <c r="B64" s="143" t="s">
        <v>33</v>
      </c>
      <c r="C64" s="144" t="s">
        <v>371</v>
      </c>
      <c r="D64" s="125"/>
      <c r="E64" s="125"/>
      <c r="F64" s="125"/>
      <c r="G64" s="125"/>
      <c r="H64" s="125"/>
      <c r="I64" s="182">
        <f t="shared" ref="I64:I68" si="5">SUM(D64:H64)</f>
        <v>0</v>
      </c>
      <c r="J64" s="160" t="s">
        <v>26</v>
      </c>
    </row>
    <row r="65" spans="1:10" ht="45">
      <c r="A65" s="142" t="s">
        <v>2</v>
      </c>
      <c r="B65" s="143" t="s">
        <v>367</v>
      </c>
      <c r="C65" s="144" t="s">
        <v>371</v>
      </c>
      <c r="D65" s="125"/>
      <c r="E65" s="125"/>
      <c r="F65" s="125"/>
      <c r="G65" s="125"/>
      <c r="H65" s="125"/>
      <c r="I65" s="182">
        <f t="shared" si="5"/>
        <v>0</v>
      </c>
      <c r="J65" s="160" t="s">
        <v>27</v>
      </c>
    </row>
    <row r="66" spans="1:10" ht="30">
      <c r="A66" s="142" t="s">
        <v>3</v>
      </c>
      <c r="B66" s="143" t="s">
        <v>46</v>
      </c>
      <c r="C66" s="144" t="s">
        <v>371</v>
      </c>
      <c r="D66" s="125"/>
      <c r="E66" s="125"/>
      <c r="F66" s="125"/>
      <c r="G66" s="125"/>
      <c r="H66" s="125"/>
      <c r="I66" s="182">
        <f t="shared" si="5"/>
        <v>0</v>
      </c>
      <c r="J66" s="160" t="s">
        <v>26</v>
      </c>
    </row>
    <row r="67" spans="1:10" ht="30">
      <c r="A67" s="142" t="s">
        <v>5</v>
      </c>
      <c r="B67" s="143" t="s">
        <v>47</v>
      </c>
      <c r="C67" s="144" t="s">
        <v>371</v>
      </c>
      <c r="D67" s="125"/>
      <c r="E67" s="125"/>
      <c r="F67" s="125"/>
      <c r="G67" s="125"/>
      <c r="H67" s="125"/>
      <c r="I67" s="182">
        <f t="shared" si="5"/>
        <v>0</v>
      </c>
      <c r="J67" s="160" t="s">
        <v>28</v>
      </c>
    </row>
    <row r="68" spans="1:10" hidden="1">
      <c r="A68" s="142" t="s">
        <v>373</v>
      </c>
      <c r="B68" s="128" t="s">
        <v>361</v>
      </c>
      <c r="C68" s="128" t="s">
        <v>361</v>
      </c>
      <c r="D68" s="125"/>
      <c r="E68" s="125"/>
      <c r="F68" s="125"/>
      <c r="G68" s="125"/>
      <c r="H68" s="125"/>
      <c r="I68" s="182">
        <f t="shared" si="5"/>
        <v>0</v>
      </c>
      <c r="J68" s="162"/>
    </row>
    <row r="69" spans="1:10">
      <c r="A69" s="130"/>
      <c r="B69" s="147"/>
      <c r="C69" s="148"/>
      <c r="D69" s="149"/>
      <c r="E69" s="149"/>
      <c r="F69" s="149"/>
      <c r="G69" s="149"/>
      <c r="H69" s="149"/>
      <c r="I69" s="149"/>
      <c r="J69" s="150"/>
    </row>
    <row r="70" spans="1:10">
      <c r="A70" s="151" t="s">
        <v>165</v>
      </c>
      <c r="B70" s="147"/>
      <c r="C70" s="148"/>
      <c r="D70" s="149"/>
      <c r="E70" s="149"/>
      <c r="F70" s="149"/>
      <c r="G70" s="149"/>
      <c r="H70" s="149"/>
      <c r="I70" s="149"/>
      <c r="J70" s="150"/>
    </row>
    <row r="71" spans="1:10">
      <c r="A71" s="142" t="s">
        <v>0</v>
      </c>
      <c r="B71" s="143" t="s">
        <v>48</v>
      </c>
      <c r="C71" s="144" t="s">
        <v>372</v>
      </c>
      <c r="D71" s="125"/>
      <c r="E71" s="125"/>
      <c r="F71" s="125"/>
      <c r="G71" s="125"/>
      <c r="H71" s="125"/>
      <c r="I71" s="182">
        <f t="shared" ref="I71:I79" si="6">SUM(D71:H71)</f>
        <v>0</v>
      </c>
      <c r="J71" s="160" t="s">
        <v>14</v>
      </c>
    </row>
    <row r="72" spans="1:10">
      <c r="A72" s="142" t="s">
        <v>2</v>
      </c>
      <c r="B72" s="143" t="s">
        <v>49</v>
      </c>
      <c r="C72" s="144" t="s">
        <v>371</v>
      </c>
      <c r="D72" s="125"/>
      <c r="E72" s="125"/>
      <c r="F72" s="125"/>
      <c r="G72" s="125"/>
      <c r="H72" s="125"/>
      <c r="I72" s="182">
        <f t="shared" si="6"/>
        <v>0</v>
      </c>
      <c r="J72" s="160" t="s">
        <v>15</v>
      </c>
    </row>
    <row r="73" spans="1:10">
      <c r="A73" s="142" t="s">
        <v>4</v>
      </c>
      <c r="B73" s="143" t="s">
        <v>368</v>
      </c>
      <c r="C73" s="144" t="s">
        <v>371</v>
      </c>
      <c r="D73" s="125"/>
      <c r="E73" s="125"/>
      <c r="F73" s="125"/>
      <c r="G73" s="125"/>
      <c r="H73" s="125"/>
      <c r="I73" s="182">
        <f t="shared" si="6"/>
        <v>0</v>
      </c>
      <c r="J73" s="160" t="s">
        <v>14</v>
      </c>
    </row>
    <row r="74" spans="1:10">
      <c r="A74" s="142" t="s">
        <v>6</v>
      </c>
      <c r="B74" s="143" t="s">
        <v>37</v>
      </c>
      <c r="C74" s="144" t="s">
        <v>371</v>
      </c>
      <c r="D74" s="125"/>
      <c r="E74" s="125"/>
      <c r="F74" s="125"/>
      <c r="G74" s="125"/>
      <c r="H74" s="125"/>
      <c r="I74" s="182">
        <f t="shared" si="6"/>
        <v>0</v>
      </c>
      <c r="J74" s="160" t="s">
        <v>14</v>
      </c>
    </row>
    <row r="75" spans="1:10">
      <c r="A75" s="142" t="s">
        <v>8</v>
      </c>
      <c r="B75" s="143" t="s">
        <v>38</v>
      </c>
      <c r="C75" s="144" t="s">
        <v>371</v>
      </c>
      <c r="D75" s="125"/>
      <c r="E75" s="125"/>
      <c r="F75" s="125"/>
      <c r="G75" s="125"/>
      <c r="H75" s="125"/>
      <c r="I75" s="182">
        <f t="shared" si="6"/>
        <v>0</v>
      </c>
      <c r="J75" s="160" t="s">
        <v>16</v>
      </c>
    </row>
    <row r="76" spans="1:10">
      <c r="A76" s="142" t="s">
        <v>9</v>
      </c>
      <c r="B76" s="143" t="s">
        <v>39</v>
      </c>
      <c r="C76" s="144" t="s">
        <v>371</v>
      </c>
      <c r="D76" s="125"/>
      <c r="E76" s="125"/>
      <c r="F76" s="125"/>
      <c r="G76" s="125"/>
      <c r="H76" s="125"/>
      <c r="I76" s="182">
        <f t="shared" si="6"/>
        <v>0</v>
      </c>
      <c r="J76" s="160" t="s">
        <v>15</v>
      </c>
    </row>
    <row r="77" spans="1:10">
      <c r="A77" s="142" t="s">
        <v>10</v>
      </c>
      <c r="B77" s="143" t="s">
        <v>40</v>
      </c>
      <c r="C77" s="144" t="s">
        <v>372</v>
      </c>
      <c r="D77" s="125"/>
      <c r="E77" s="125"/>
      <c r="F77" s="125"/>
      <c r="G77" s="125"/>
      <c r="H77" s="125"/>
      <c r="I77" s="182">
        <f t="shared" si="6"/>
        <v>0</v>
      </c>
      <c r="J77" s="160" t="s">
        <v>16</v>
      </c>
    </row>
    <row r="78" spans="1:10">
      <c r="A78" s="142" t="s">
        <v>369</v>
      </c>
      <c r="B78" s="143" t="s">
        <v>50</v>
      </c>
      <c r="C78" s="144" t="s">
        <v>371</v>
      </c>
      <c r="D78" s="125"/>
      <c r="E78" s="125"/>
      <c r="F78" s="125"/>
      <c r="G78" s="125"/>
      <c r="H78" s="125"/>
      <c r="I78" s="182">
        <f t="shared" si="6"/>
        <v>0</v>
      </c>
      <c r="J78" s="160" t="s">
        <v>85</v>
      </c>
    </row>
    <row r="79" spans="1:10" hidden="1">
      <c r="A79" s="142" t="s">
        <v>373</v>
      </c>
      <c r="B79" s="128" t="s">
        <v>361</v>
      </c>
      <c r="C79" s="128" t="s">
        <v>361</v>
      </c>
      <c r="D79" s="125"/>
      <c r="E79" s="125"/>
      <c r="F79" s="125"/>
      <c r="G79" s="125"/>
      <c r="H79" s="125"/>
      <c r="I79" s="182">
        <f t="shared" si="6"/>
        <v>0</v>
      </c>
      <c r="J79" s="162"/>
    </row>
    <row r="80" spans="1:10">
      <c r="A80" s="146"/>
      <c r="B80" s="147"/>
      <c r="C80" s="148"/>
      <c r="D80" s="149"/>
      <c r="E80" s="149"/>
      <c r="F80" s="149"/>
      <c r="G80" s="149"/>
      <c r="H80" s="149"/>
      <c r="I80" s="149"/>
      <c r="J80" s="150"/>
    </row>
    <row r="81" spans="1:10">
      <c r="A81" s="132" t="s">
        <v>166</v>
      </c>
      <c r="B81" s="147"/>
      <c r="C81" s="148"/>
      <c r="D81" s="149"/>
      <c r="E81" s="149"/>
      <c r="F81" s="149"/>
      <c r="G81" s="149"/>
      <c r="H81" s="149"/>
      <c r="I81" s="149"/>
      <c r="J81" s="150"/>
    </row>
    <row r="82" spans="1:10">
      <c r="A82" s="142" t="s">
        <v>0</v>
      </c>
      <c r="B82" s="143" t="s">
        <v>42</v>
      </c>
      <c r="C82" s="144" t="s">
        <v>371</v>
      </c>
      <c r="D82" s="125"/>
      <c r="E82" s="125"/>
      <c r="F82" s="125"/>
      <c r="G82" s="125"/>
      <c r="H82" s="125"/>
      <c r="I82" s="182">
        <f t="shared" ref="I82:I86" si="7">SUM(D82:H82)</f>
        <v>0</v>
      </c>
      <c r="J82" s="160" t="s">
        <v>80</v>
      </c>
    </row>
    <row r="83" spans="1:10">
      <c r="A83" s="142" t="s">
        <v>1</v>
      </c>
      <c r="B83" s="143" t="s">
        <v>43</v>
      </c>
      <c r="C83" s="144" t="s">
        <v>372</v>
      </c>
      <c r="D83" s="125"/>
      <c r="E83" s="125"/>
      <c r="F83" s="125"/>
      <c r="G83" s="125"/>
      <c r="H83" s="125"/>
      <c r="I83" s="182">
        <f t="shared" si="7"/>
        <v>0</v>
      </c>
      <c r="J83" s="160" t="s">
        <v>78</v>
      </c>
    </row>
    <row r="84" spans="1:10">
      <c r="A84" s="142" t="s">
        <v>3</v>
      </c>
      <c r="B84" s="143" t="s">
        <v>51</v>
      </c>
      <c r="C84" s="144" t="s">
        <v>371</v>
      </c>
      <c r="D84" s="125"/>
      <c r="E84" s="125"/>
      <c r="F84" s="125"/>
      <c r="G84" s="125"/>
      <c r="H84" s="125"/>
      <c r="I84" s="182">
        <f t="shared" si="7"/>
        <v>0</v>
      </c>
      <c r="J84" s="160" t="s">
        <v>78</v>
      </c>
    </row>
    <row r="85" spans="1:10">
      <c r="A85" s="142" t="s">
        <v>5</v>
      </c>
      <c r="B85" s="143" t="s">
        <v>52</v>
      </c>
      <c r="C85" s="144" t="s">
        <v>372</v>
      </c>
      <c r="D85" s="125"/>
      <c r="E85" s="125"/>
      <c r="F85" s="125"/>
      <c r="G85" s="125"/>
      <c r="H85" s="125"/>
      <c r="I85" s="182">
        <f t="shared" si="7"/>
        <v>0</v>
      </c>
      <c r="J85" s="160" t="s">
        <v>84</v>
      </c>
    </row>
    <row r="86" spans="1:10" hidden="1">
      <c r="A86" s="142" t="s">
        <v>373</v>
      </c>
      <c r="B86" s="128" t="s">
        <v>361</v>
      </c>
      <c r="C86" s="128" t="s">
        <v>361</v>
      </c>
      <c r="D86" s="125"/>
      <c r="E86" s="125"/>
      <c r="F86" s="125"/>
      <c r="G86" s="125"/>
      <c r="H86" s="125"/>
      <c r="I86" s="182">
        <f t="shared" si="7"/>
        <v>0</v>
      </c>
      <c r="J86" s="162"/>
    </row>
    <row r="87" spans="1:10">
      <c r="A87" s="146"/>
      <c r="B87" s="147"/>
      <c r="C87" s="148"/>
      <c r="D87" s="149"/>
      <c r="E87" s="149"/>
      <c r="F87" s="149"/>
      <c r="G87" s="149"/>
      <c r="H87" s="149"/>
      <c r="I87" s="149"/>
      <c r="J87" s="150"/>
    </row>
    <row r="88" spans="1:10">
      <c r="A88" s="132" t="s">
        <v>167</v>
      </c>
      <c r="B88" s="147"/>
      <c r="C88" s="148"/>
      <c r="D88" s="149"/>
      <c r="E88" s="149"/>
      <c r="F88" s="149"/>
      <c r="G88" s="149"/>
      <c r="H88" s="149"/>
      <c r="I88" s="149"/>
      <c r="J88" s="150"/>
    </row>
    <row r="89" spans="1:10" ht="30">
      <c r="A89" s="156" t="s">
        <v>364</v>
      </c>
      <c r="B89" s="158" t="s">
        <v>53</v>
      </c>
      <c r="C89" s="144" t="s">
        <v>371</v>
      </c>
      <c r="D89" s="126"/>
      <c r="E89" s="126"/>
      <c r="F89" s="126"/>
      <c r="G89" s="126"/>
      <c r="H89" s="126"/>
      <c r="I89" s="182">
        <f t="shared" ref="I89:I92" si="8">SUM(D89:H89)</f>
        <v>0</v>
      </c>
      <c r="J89" s="161" t="s">
        <v>366</v>
      </c>
    </row>
    <row r="90" spans="1:10">
      <c r="A90" s="156" t="s">
        <v>2</v>
      </c>
      <c r="B90" s="158" t="s">
        <v>363</v>
      </c>
      <c r="C90" s="144" t="s">
        <v>371</v>
      </c>
      <c r="D90" s="126"/>
      <c r="E90" s="126"/>
      <c r="F90" s="126"/>
      <c r="G90" s="126"/>
      <c r="H90" s="126"/>
      <c r="I90" s="182">
        <f t="shared" si="8"/>
        <v>0</v>
      </c>
      <c r="J90" s="161" t="s">
        <v>366</v>
      </c>
    </row>
    <row r="91" spans="1:10">
      <c r="A91" s="156" t="s">
        <v>4</v>
      </c>
      <c r="B91" s="158" t="s">
        <v>45</v>
      </c>
      <c r="C91" s="144" t="s">
        <v>371</v>
      </c>
      <c r="D91" s="126"/>
      <c r="E91" s="126"/>
      <c r="F91" s="126"/>
      <c r="G91" s="126"/>
      <c r="H91" s="126"/>
      <c r="I91" s="182">
        <f t="shared" si="8"/>
        <v>0</v>
      </c>
      <c r="J91" s="161" t="s">
        <v>19</v>
      </c>
    </row>
    <row r="92" spans="1:10" hidden="1">
      <c r="A92" s="142" t="s">
        <v>373</v>
      </c>
      <c r="B92" s="128" t="s">
        <v>361</v>
      </c>
      <c r="C92" s="128" t="s">
        <v>361</v>
      </c>
      <c r="D92" s="125"/>
      <c r="E92" s="125"/>
      <c r="F92" s="125"/>
      <c r="G92" s="125"/>
      <c r="H92" s="125"/>
      <c r="I92" s="182">
        <f t="shared" si="8"/>
        <v>0</v>
      </c>
      <c r="J92" s="162"/>
    </row>
    <row r="93" spans="1:10">
      <c r="A93" s="146"/>
      <c r="B93" s="147"/>
      <c r="C93" s="167"/>
      <c r="D93" s="154"/>
      <c r="E93" s="154"/>
      <c r="F93" s="154"/>
      <c r="G93" s="154"/>
      <c r="H93" s="154"/>
      <c r="I93" s="154"/>
      <c r="J93" s="150"/>
    </row>
    <row r="94" spans="1:10">
      <c r="A94" s="164" t="s">
        <v>168</v>
      </c>
      <c r="B94" s="168"/>
      <c r="C94" s="130"/>
      <c r="D94" s="131"/>
      <c r="E94" s="131"/>
      <c r="F94" s="131"/>
      <c r="G94" s="131"/>
      <c r="H94" s="131"/>
      <c r="I94" s="131"/>
      <c r="J94" s="155"/>
    </row>
    <row r="95" spans="1:10">
      <c r="A95" s="142" t="s">
        <v>0</v>
      </c>
      <c r="B95" s="143" t="s">
        <v>54</v>
      </c>
      <c r="C95" s="144" t="s">
        <v>372</v>
      </c>
      <c r="D95" s="125"/>
      <c r="E95" s="125"/>
      <c r="F95" s="125"/>
      <c r="G95" s="125"/>
      <c r="H95" s="125"/>
      <c r="I95" s="182">
        <f t="shared" ref="I95:I99" si="9">SUM(D95:H95)</f>
        <v>0</v>
      </c>
      <c r="J95" s="160" t="s">
        <v>82</v>
      </c>
    </row>
    <row r="96" spans="1:10">
      <c r="A96" s="142" t="s">
        <v>1</v>
      </c>
      <c r="B96" s="143" t="s">
        <v>55</v>
      </c>
      <c r="C96" s="144" t="s">
        <v>371</v>
      </c>
      <c r="D96" s="125"/>
      <c r="E96" s="125"/>
      <c r="F96" s="125"/>
      <c r="G96" s="125"/>
      <c r="H96" s="125"/>
      <c r="I96" s="182">
        <f t="shared" si="9"/>
        <v>0</v>
      </c>
      <c r="J96" s="160" t="s">
        <v>80</v>
      </c>
    </row>
    <row r="97" spans="1:10" ht="30">
      <c r="A97" s="142" t="s">
        <v>3</v>
      </c>
      <c r="B97" s="143" t="s">
        <v>56</v>
      </c>
      <c r="C97" s="144" t="s">
        <v>371</v>
      </c>
      <c r="D97" s="125"/>
      <c r="E97" s="125"/>
      <c r="F97" s="125"/>
      <c r="G97" s="125"/>
      <c r="H97" s="125"/>
      <c r="I97" s="182">
        <f t="shared" si="9"/>
        <v>0</v>
      </c>
      <c r="J97" s="160" t="s">
        <v>86</v>
      </c>
    </row>
    <row r="98" spans="1:10">
      <c r="A98" s="142" t="s">
        <v>5</v>
      </c>
      <c r="B98" s="143" t="s">
        <v>57</v>
      </c>
      <c r="C98" s="144" t="s">
        <v>371</v>
      </c>
      <c r="D98" s="125"/>
      <c r="E98" s="125"/>
      <c r="F98" s="125"/>
      <c r="G98" s="125"/>
      <c r="H98" s="125"/>
      <c r="I98" s="182">
        <f t="shared" si="9"/>
        <v>0</v>
      </c>
      <c r="J98" s="160" t="s">
        <v>76</v>
      </c>
    </row>
    <row r="99" spans="1:10" hidden="1">
      <c r="A99" s="142" t="s">
        <v>373</v>
      </c>
      <c r="B99" s="128" t="s">
        <v>361</v>
      </c>
      <c r="C99" s="128" t="s">
        <v>361</v>
      </c>
      <c r="D99" s="125"/>
      <c r="E99" s="125"/>
      <c r="F99" s="125"/>
      <c r="G99" s="125"/>
      <c r="H99" s="125"/>
      <c r="I99" s="182">
        <f t="shared" si="9"/>
        <v>0</v>
      </c>
      <c r="J99" s="162"/>
    </row>
    <row r="100" spans="1:10">
      <c r="A100" s="165"/>
      <c r="B100" s="168"/>
      <c r="C100" s="130"/>
      <c r="D100" s="131"/>
      <c r="E100" s="131"/>
      <c r="F100" s="131"/>
      <c r="G100" s="131"/>
      <c r="H100" s="131"/>
      <c r="I100" s="131"/>
      <c r="J100" s="155"/>
    </row>
    <row r="101" spans="1:10">
      <c r="A101" s="164" t="s">
        <v>171</v>
      </c>
      <c r="B101" s="168"/>
      <c r="C101" s="130"/>
      <c r="D101" s="131"/>
      <c r="E101" s="131"/>
      <c r="F101" s="131"/>
      <c r="G101" s="131"/>
      <c r="H101" s="131"/>
      <c r="I101" s="131"/>
      <c r="J101" s="155"/>
    </row>
    <row r="102" spans="1:10" ht="30">
      <c r="A102" s="142" t="s">
        <v>0</v>
      </c>
      <c r="B102" s="143" t="s">
        <v>58</v>
      </c>
      <c r="C102" s="144" t="s">
        <v>372</v>
      </c>
      <c r="D102" s="125"/>
      <c r="E102" s="125"/>
      <c r="F102" s="125"/>
      <c r="G102" s="125"/>
      <c r="H102" s="125"/>
      <c r="I102" s="182">
        <f t="shared" ref="I102:I105" si="10">SUM(D102:H102)</f>
        <v>0</v>
      </c>
      <c r="J102" s="160" t="s">
        <v>29</v>
      </c>
    </row>
    <row r="103" spans="1:10">
      <c r="A103" s="142" t="s">
        <v>1</v>
      </c>
      <c r="B103" s="143" t="s">
        <v>59</v>
      </c>
      <c r="C103" s="144" t="s">
        <v>371</v>
      </c>
      <c r="D103" s="125"/>
      <c r="E103" s="125"/>
      <c r="F103" s="125"/>
      <c r="G103" s="125"/>
      <c r="H103" s="125"/>
      <c r="I103" s="182">
        <f t="shared" si="10"/>
        <v>0</v>
      </c>
      <c r="J103" s="160" t="s">
        <v>29</v>
      </c>
    </row>
    <row r="104" spans="1:10">
      <c r="A104" s="142" t="s">
        <v>3</v>
      </c>
      <c r="B104" s="143" t="s">
        <v>60</v>
      </c>
      <c r="C104" s="144" t="s">
        <v>372</v>
      </c>
      <c r="D104" s="125"/>
      <c r="E104" s="125"/>
      <c r="F104" s="125"/>
      <c r="G104" s="125"/>
      <c r="H104" s="125"/>
      <c r="I104" s="182">
        <f t="shared" si="10"/>
        <v>0</v>
      </c>
      <c r="J104" s="160" t="s">
        <v>29</v>
      </c>
    </row>
    <row r="105" spans="1:10" hidden="1">
      <c r="A105" s="142" t="s">
        <v>373</v>
      </c>
      <c r="B105" s="128" t="s">
        <v>361</v>
      </c>
      <c r="C105" s="128" t="s">
        <v>361</v>
      </c>
      <c r="D105" s="125"/>
      <c r="E105" s="125"/>
      <c r="F105" s="125"/>
      <c r="G105" s="125"/>
      <c r="H105" s="125"/>
      <c r="I105" s="182">
        <f t="shared" si="10"/>
        <v>0</v>
      </c>
      <c r="J105" s="162"/>
    </row>
    <row r="106" spans="1:10">
      <c r="A106" s="166"/>
      <c r="B106" s="168"/>
      <c r="C106" s="130"/>
      <c r="D106" s="131"/>
      <c r="E106" s="131"/>
      <c r="F106" s="131"/>
      <c r="G106" s="131"/>
      <c r="H106" s="131"/>
      <c r="I106" s="131"/>
      <c r="J106" s="155"/>
    </row>
    <row r="107" spans="1:10">
      <c r="A107" s="164" t="s">
        <v>169</v>
      </c>
      <c r="B107" s="168"/>
      <c r="C107" s="130"/>
      <c r="D107" s="131"/>
      <c r="E107" s="131"/>
      <c r="F107" s="131"/>
      <c r="G107" s="131"/>
      <c r="H107" s="131"/>
      <c r="I107" s="131"/>
      <c r="J107" s="155"/>
    </row>
    <row r="108" spans="1:10">
      <c r="A108" s="142" t="s">
        <v>0</v>
      </c>
      <c r="B108" s="143" t="s">
        <v>61</v>
      </c>
      <c r="C108" s="144" t="s">
        <v>372</v>
      </c>
      <c r="D108" s="125"/>
      <c r="E108" s="125"/>
      <c r="F108" s="125"/>
      <c r="G108" s="125"/>
      <c r="H108" s="125"/>
      <c r="I108" s="182">
        <f t="shared" ref="I108:I112" si="11">SUM(D108:H108)</f>
        <v>0</v>
      </c>
      <c r="J108" s="160" t="s">
        <v>92</v>
      </c>
    </row>
    <row r="109" spans="1:10">
      <c r="A109" s="142" t="s">
        <v>1</v>
      </c>
      <c r="B109" s="143" t="s">
        <v>62</v>
      </c>
      <c r="C109" s="144" t="s">
        <v>371</v>
      </c>
      <c r="D109" s="125"/>
      <c r="E109" s="125"/>
      <c r="F109" s="125"/>
      <c r="G109" s="125"/>
      <c r="H109" s="125"/>
      <c r="I109" s="182">
        <f t="shared" si="11"/>
        <v>0</v>
      </c>
      <c r="J109" s="160" t="s">
        <v>92</v>
      </c>
    </row>
    <row r="110" spans="1:10">
      <c r="A110" s="142" t="s">
        <v>3</v>
      </c>
      <c r="B110" s="143" t="s">
        <v>63</v>
      </c>
      <c r="C110" s="144" t="s">
        <v>372</v>
      </c>
      <c r="D110" s="125"/>
      <c r="E110" s="125"/>
      <c r="F110" s="125"/>
      <c r="G110" s="125"/>
      <c r="H110" s="125"/>
      <c r="I110" s="182">
        <f t="shared" si="11"/>
        <v>0</v>
      </c>
      <c r="J110" s="160" t="s">
        <v>92</v>
      </c>
    </row>
    <row r="111" spans="1:10">
      <c r="A111" s="142" t="s">
        <v>5</v>
      </c>
      <c r="B111" s="143" t="s">
        <v>64</v>
      </c>
      <c r="C111" s="144" t="s">
        <v>372</v>
      </c>
      <c r="D111" s="125"/>
      <c r="E111" s="125"/>
      <c r="F111" s="125"/>
      <c r="G111" s="125"/>
      <c r="H111" s="125"/>
      <c r="I111" s="182">
        <f t="shared" si="11"/>
        <v>0</v>
      </c>
      <c r="J111" s="160" t="s">
        <v>92</v>
      </c>
    </row>
    <row r="112" spans="1:10" hidden="1">
      <c r="A112" s="142" t="s">
        <v>373</v>
      </c>
      <c r="B112" s="128" t="s">
        <v>361</v>
      </c>
      <c r="C112" s="128" t="s">
        <v>361</v>
      </c>
      <c r="D112" s="125"/>
      <c r="E112" s="125"/>
      <c r="F112" s="125"/>
      <c r="G112" s="125"/>
      <c r="H112" s="125"/>
      <c r="I112" s="182">
        <f t="shared" si="11"/>
        <v>0</v>
      </c>
      <c r="J112" s="162"/>
    </row>
    <row r="113" spans="1:10">
      <c r="A113" s="146"/>
      <c r="B113" s="180"/>
      <c r="C113" s="180"/>
      <c r="D113" s="154"/>
      <c r="E113" s="154"/>
      <c r="F113" s="154"/>
      <c r="G113" s="154"/>
      <c r="H113" s="154"/>
      <c r="I113" s="154"/>
      <c r="J113" s="150"/>
    </row>
    <row r="114" spans="1:10" ht="15">
      <c r="A114" s="159" t="s">
        <v>383</v>
      </c>
      <c r="B114" s="130"/>
      <c r="C114" s="130"/>
      <c r="D114" s="131"/>
      <c r="E114" s="131"/>
      <c r="F114" s="131"/>
      <c r="G114" s="131"/>
      <c r="H114" s="131"/>
      <c r="I114" s="131"/>
      <c r="J114" s="166"/>
    </row>
    <row r="115" spans="1:10" ht="7.5" customHeight="1">
      <c r="A115" s="159"/>
      <c r="B115" s="130"/>
      <c r="C115" s="130"/>
      <c r="D115" s="131"/>
      <c r="E115" s="131"/>
      <c r="F115" s="131"/>
      <c r="G115" s="131"/>
      <c r="H115" s="131"/>
      <c r="I115" s="131"/>
      <c r="J115" s="166"/>
    </row>
    <row r="116" spans="1:10" ht="17.25" customHeight="1">
      <c r="A116" s="194" t="s">
        <v>468</v>
      </c>
      <c r="B116" s="130"/>
      <c r="C116" s="130"/>
      <c r="D116" s="131"/>
      <c r="E116" s="131"/>
      <c r="F116" s="131"/>
      <c r="G116" s="131"/>
      <c r="H116" s="131"/>
      <c r="I116" s="131"/>
      <c r="J116" s="166"/>
    </row>
    <row r="117" spans="1:10">
      <c r="A117" s="130"/>
      <c r="B117" s="535" t="s">
        <v>401</v>
      </c>
      <c r="C117" s="536"/>
      <c r="D117" s="188" t="s">
        <v>392</v>
      </c>
      <c r="E117" s="188" t="s">
        <v>393</v>
      </c>
      <c r="F117" s="188" t="s">
        <v>394</v>
      </c>
      <c r="G117" s="188" t="s">
        <v>395</v>
      </c>
      <c r="H117" s="188" t="s">
        <v>396</v>
      </c>
      <c r="I117" s="131"/>
      <c r="J117" s="166"/>
    </row>
    <row r="118" spans="1:10" ht="15.75" customHeight="1">
      <c r="A118" s="146"/>
      <c r="B118" s="535" t="s">
        <v>403</v>
      </c>
      <c r="C118" s="535"/>
      <c r="D118" s="188">
        <f>SUM(D23:D26,D30:D33,D37:D42,D46:D47,D51:D53,D64:D67,D71:D78,D82:D85,D89:D91,D95:D98,D102:D104,D108:D111)</f>
        <v>220</v>
      </c>
      <c r="E118" s="188">
        <f>SUM(E23:E26,E30:E33,E37:E42,E46:E47,E51:E53,E64:E67,E71:E78,E82:E85,E89:E91,E95:E98,E102:E104,E108:E111)</f>
        <v>220</v>
      </c>
      <c r="F118" s="188">
        <f>SUM(F23:F26,F30:F33,F37:F42,F46:F47,F51:F53,F64:F67,F71:F78,F82:F85,F89:F91,F95:F98,F102:F104,F108:F111)</f>
        <v>50</v>
      </c>
      <c r="G118" s="188">
        <f>SUM(G23:G26,G30:G33,G37:G42,G46:G47,G51:G53,G64:G67,G71:G78,G82:G85,G89:G91,G95:G98,G102:G104,G108:G111)</f>
        <v>0</v>
      </c>
      <c r="H118" s="188">
        <f>SUM(H23:H26,H30:H33,H37:H42,H46:H47,H51:H53,H64:H67,H71:H78,H82:H85,H89:H91,H95:H98,H102:H104,H108:H111)</f>
        <v>0</v>
      </c>
      <c r="I118" s="150"/>
      <c r="J118" s="150"/>
    </row>
    <row r="119" spans="1:10">
      <c r="A119" s="146"/>
      <c r="B119" s="130"/>
      <c r="C119" s="130"/>
      <c r="D119" s="130"/>
      <c r="E119" s="130"/>
      <c r="F119" s="130"/>
      <c r="G119" s="130"/>
      <c r="H119" s="130"/>
      <c r="I119" s="150"/>
      <c r="J119" s="150"/>
    </row>
    <row r="120" spans="1:10">
      <c r="A120" s="166"/>
      <c r="B120" s="130"/>
      <c r="C120" s="130"/>
      <c r="D120" s="131"/>
      <c r="E120" s="131"/>
      <c r="F120" s="131"/>
      <c r="G120" s="131"/>
      <c r="H120" s="131"/>
      <c r="I120" s="131"/>
      <c r="J120" s="132"/>
    </row>
    <row r="121" spans="1:10">
      <c r="A121" s="5"/>
    </row>
    <row r="122" spans="1:10">
      <c r="A122" s="220"/>
      <c r="B122" s="134"/>
      <c r="C122" s="134"/>
      <c r="D122" s="136"/>
      <c r="E122" s="136"/>
      <c r="F122" s="136"/>
      <c r="G122" s="136"/>
      <c r="H122" s="136"/>
      <c r="I122" s="136"/>
      <c r="J122" s="135"/>
    </row>
    <row r="123" spans="1:10" ht="18">
      <c r="A123" s="133" t="s">
        <v>483</v>
      </c>
      <c r="B123" s="133"/>
      <c r="C123" s="134"/>
      <c r="D123" s="134"/>
      <c r="E123" s="134"/>
      <c r="F123" s="134"/>
      <c r="G123" s="134"/>
      <c r="H123" s="134"/>
      <c r="I123" s="136"/>
      <c r="J123" s="135"/>
    </row>
    <row r="124" spans="1:10" ht="18">
      <c r="A124" s="133"/>
      <c r="B124" s="133"/>
      <c r="C124" s="134"/>
      <c r="D124" s="134"/>
      <c r="E124" s="134"/>
      <c r="F124" s="134"/>
      <c r="G124" s="134"/>
      <c r="H124" s="134"/>
      <c r="I124" s="136"/>
      <c r="J124" s="135"/>
    </row>
    <row r="125" spans="1:10" ht="18">
      <c r="A125" s="135" t="s">
        <v>402</v>
      </c>
      <c r="B125" s="133"/>
      <c r="C125" s="134"/>
      <c r="D125" s="134"/>
      <c r="E125" s="134"/>
      <c r="F125" s="134"/>
      <c r="G125" s="134"/>
      <c r="H125" s="134"/>
      <c r="I125" s="136"/>
      <c r="J125" s="135"/>
    </row>
    <row r="126" spans="1:10" ht="18">
      <c r="A126" s="134" t="s">
        <v>406</v>
      </c>
      <c r="B126" s="133"/>
      <c r="C126" s="134"/>
      <c r="D126" s="134"/>
      <c r="E126" s="134"/>
      <c r="F126" s="134"/>
      <c r="G126" s="134"/>
      <c r="H126" s="134"/>
      <c r="I126" s="136"/>
      <c r="J126" s="135"/>
    </row>
    <row r="127" spans="1:10" ht="18">
      <c r="A127" s="134" t="s">
        <v>408</v>
      </c>
      <c r="B127" s="133"/>
      <c r="C127" s="134"/>
      <c r="D127" s="134"/>
      <c r="E127" s="134"/>
      <c r="F127" s="134"/>
      <c r="G127" s="134"/>
      <c r="H127" s="134"/>
      <c r="I127" s="136"/>
      <c r="J127" s="135"/>
    </row>
    <row r="128" spans="1:10" ht="18">
      <c r="A128" s="134" t="s">
        <v>409</v>
      </c>
      <c r="B128" s="133"/>
      <c r="C128" s="134"/>
      <c r="D128" s="134"/>
      <c r="E128" s="134"/>
      <c r="F128" s="134"/>
      <c r="G128" s="134"/>
      <c r="H128" s="134"/>
      <c r="I128" s="136"/>
      <c r="J128" s="135"/>
    </row>
    <row r="129" spans="1:10" ht="30.75" customHeight="1">
      <c r="A129" s="537" t="s">
        <v>485</v>
      </c>
      <c r="B129" s="537"/>
      <c r="C129" s="537"/>
      <c r="D129" s="537"/>
      <c r="E129" s="537"/>
      <c r="F129" s="537"/>
      <c r="G129" s="537"/>
      <c r="H129" s="537"/>
      <c r="I129" s="537"/>
      <c r="J129" s="537"/>
    </row>
    <row r="130" spans="1:10" ht="18">
      <c r="A130" s="134" t="s">
        <v>410</v>
      </c>
      <c r="B130" s="133"/>
      <c r="C130" s="134"/>
      <c r="D130" s="134"/>
      <c r="E130" s="134"/>
      <c r="F130" s="134"/>
      <c r="G130" s="134"/>
      <c r="H130" s="134"/>
      <c r="I130" s="136"/>
      <c r="J130" s="135"/>
    </row>
    <row r="131" spans="1:10" ht="18" customHeight="1">
      <c r="A131" s="196"/>
      <c r="B131" s="133"/>
      <c r="C131" s="134"/>
      <c r="D131" s="134"/>
      <c r="E131" s="134"/>
      <c r="F131" s="134"/>
      <c r="G131" s="134"/>
      <c r="H131" s="134"/>
      <c r="I131" s="538" t="s">
        <v>469</v>
      </c>
      <c r="J131" s="539" t="s">
        <v>414</v>
      </c>
    </row>
    <row r="132" spans="1:10" ht="15.75" customHeight="1">
      <c r="A132" s="169"/>
      <c r="B132" s="169"/>
      <c r="C132" s="169"/>
      <c r="D132" s="540" t="s">
        <v>398</v>
      </c>
      <c r="E132" s="540"/>
      <c r="F132" s="519" t="s">
        <v>411</v>
      </c>
      <c r="G132" s="519"/>
      <c r="H132" s="519"/>
      <c r="I132" s="538"/>
      <c r="J132" s="539"/>
    </row>
    <row r="133" spans="1:10" ht="15.75" customHeight="1">
      <c r="A133" s="170" t="s">
        <v>376</v>
      </c>
      <c r="B133" s="171"/>
      <c r="C133" s="172"/>
      <c r="D133" s="541"/>
      <c r="E133" s="541"/>
      <c r="F133" s="520"/>
      <c r="G133" s="520"/>
      <c r="H133" s="520"/>
      <c r="I133" s="538"/>
      <c r="J133" s="539"/>
    </row>
    <row r="134" spans="1:10">
      <c r="A134" s="163" t="s">
        <v>27</v>
      </c>
      <c r="B134" s="530" t="s">
        <v>23</v>
      </c>
      <c r="C134" s="531"/>
      <c r="D134" s="530" t="s">
        <v>83</v>
      </c>
      <c r="E134" s="531"/>
      <c r="F134" s="532">
        <f>ROUND((SUMIF($J$23:$J$112,A134,$I$23:$I$112))*0.83,0)</f>
        <v>100</v>
      </c>
      <c r="G134" s="533"/>
      <c r="H134" s="534"/>
      <c r="I134" s="136" t="str">
        <f>I$13</f>
        <v>75</v>
      </c>
      <c r="J134" s="197">
        <f>IF(F134&gt;0,MAX(0,I134-F134),"")</f>
        <v>0</v>
      </c>
    </row>
    <row r="135" spans="1:10">
      <c r="A135" s="163" t="s">
        <v>26</v>
      </c>
      <c r="B135" s="530" t="s">
        <v>24</v>
      </c>
      <c r="C135" s="531"/>
      <c r="D135" s="530">
        <v>2</v>
      </c>
      <c r="E135" s="531"/>
      <c r="F135" s="532">
        <f>ROUND((SUMIF($J$23:$J$112,A135,$I$23:$I$112))*0.83,0)</f>
        <v>83</v>
      </c>
      <c r="G135" s="533"/>
      <c r="H135" s="534"/>
      <c r="I135" s="136" t="str">
        <f t="shared" ref="I135:I136" si="12">I$13</f>
        <v>75</v>
      </c>
      <c r="J135" s="197">
        <f>IF(F135&gt;0,MAX(0,I135-F135),"")</f>
        <v>0</v>
      </c>
    </row>
    <row r="136" spans="1:10">
      <c r="A136" s="163" t="s">
        <v>28</v>
      </c>
      <c r="B136" s="530" t="s">
        <v>25</v>
      </c>
      <c r="C136" s="531"/>
      <c r="D136" s="530">
        <v>3</v>
      </c>
      <c r="E136" s="531"/>
      <c r="F136" s="532">
        <f>ROUND((SUMIF($J$23:$J$112,A136,$I$23:$I$112))*0.83,0)</f>
        <v>0</v>
      </c>
      <c r="G136" s="533"/>
      <c r="H136" s="534"/>
      <c r="I136" s="136" t="str">
        <f t="shared" si="12"/>
        <v>75</v>
      </c>
      <c r="J136" s="197" t="str">
        <f>IF(F136&gt;0,MAX(0,I136-F136),"")</f>
        <v/>
      </c>
    </row>
    <row r="137" spans="1:10">
      <c r="A137" s="173"/>
      <c r="B137" s="134"/>
      <c r="C137" s="134"/>
      <c r="D137" s="195"/>
      <c r="E137" s="195"/>
      <c r="F137" s="135"/>
      <c r="G137" s="135"/>
      <c r="H137" s="135"/>
      <c r="I137" s="136"/>
      <c r="J137" s="221"/>
    </row>
    <row r="138" spans="1:10" ht="15.75" customHeight="1">
      <c r="A138" s="170" t="s">
        <v>377</v>
      </c>
      <c r="B138" s="171"/>
      <c r="C138" s="172"/>
      <c r="D138" s="225"/>
      <c r="E138" s="225"/>
      <c r="F138" s="183"/>
      <c r="G138" s="183"/>
      <c r="H138" s="183"/>
      <c r="I138" s="247"/>
      <c r="J138" s="223"/>
    </row>
    <row r="139" spans="1:10">
      <c r="A139" s="163" t="s">
        <v>14</v>
      </c>
      <c r="B139" s="530" t="s">
        <v>11</v>
      </c>
      <c r="C139" s="531"/>
      <c r="D139" s="530" t="s">
        <v>83</v>
      </c>
      <c r="E139" s="531"/>
      <c r="F139" s="532">
        <f>ROUND((SUMIF($J$23:$J$112,A139,$I$23:$I$112))*0.83,0)</f>
        <v>166</v>
      </c>
      <c r="G139" s="533"/>
      <c r="H139" s="534"/>
      <c r="I139" s="136" t="str">
        <f>I$13</f>
        <v>75</v>
      </c>
      <c r="J139" s="197">
        <f>IF(F139&gt;0,MAX(0,I139-F139),"")</f>
        <v>0</v>
      </c>
    </row>
    <row r="140" spans="1:10">
      <c r="A140" s="163" t="s">
        <v>15</v>
      </c>
      <c r="B140" s="530" t="s">
        <v>12</v>
      </c>
      <c r="C140" s="531"/>
      <c r="D140" s="530">
        <v>3</v>
      </c>
      <c r="E140" s="531"/>
      <c r="F140" s="532">
        <f>ROUND((SUMIF($J$23:$J$112,A140,$I$23:$I$112))*0.83,0)</f>
        <v>17</v>
      </c>
      <c r="G140" s="533"/>
      <c r="H140" s="534"/>
      <c r="I140" s="136" t="str">
        <f t="shared" ref="I140:I141" si="13">I$13</f>
        <v>75</v>
      </c>
      <c r="J140" s="197">
        <f>IF(F140&gt;0,MAX(0,I140-F140),"")</f>
        <v>58</v>
      </c>
    </row>
    <row r="141" spans="1:10">
      <c r="A141" s="163" t="s">
        <v>16</v>
      </c>
      <c r="B141" s="530" t="s">
        <v>13</v>
      </c>
      <c r="C141" s="531"/>
      <c r="D141" s="530" t="s">
        <v>83</v>
      </c>
      <c r="E141" s="531"/>
      <c r="F141" s="532">
        <f>ROUND((SUMIF($J$23:$J$112,A141,$I$23:$I$112))*0.83,0)</f>
        <v>42</v>
      </c>
      <c r="G141" s="533"/>
      <c r="H141" s="534"/>
      <c r="I141" s="136" t="str">
        <f t="shared" si="13"/>
        <v>75</v>
      </c>
      <c r="J141" s="197">
        <f>IF(F141&gt;0,MAX(0,I141-F141),"")</f>
        <v>33</v>
      </c>
    </row>
    <row r="142" spans="1:10">
      <c r="A142" s="174"/>
      <c r="B142" s="175"/>
      <c r="C142" s="174"/>
      <c r="D142" s="195"/>
      <c r="E142" s="195"/>
      <c r="F142" s="135"/>
      <c r="G142" s="135"/>
      <c r="H142" s="135"/>
      <c r="I142" s="136"/>
      <c r="J142" s="221"/>
    </row>
    <row r="143" spans="1:10" ht="15.75" customHeight="1">
      <c r="A143" s="170" t="s">
        <v>378</v>
      </c>
      <c r="B143" s="171"/>
      <c r="C143" s="172"/>
      <c r="D143" s="225"/>
      <c r="E143" s="225"/>
      <c r="F143" s="183"/>
      <c r="G143" s="183"/>
      <c r="H143" s="183"/>
      <c r="I143" s="247"/>
      <c r="J143" s="223"/>
    </row>
    <row r="144" spans="1:10">
      <c r="A144" s="163" t="s">
        <v>17</v>
      </c>
      <c r="B144" s="530" t="s">
        <v>21</v>
      </c>
      <c r="C144" s="531"/>
      <c r="D144" s="530" t="s">
        <v>83</v>
      </c>
      <c r="E144" s="531"/>
      <c r="F144" s="532">
        <f>ROUND((SUMIF($J$23:$J$112,A144,$I$23:$I$112))*0.83,0)</f>
        <v>0</v>
      </c>
      <c r="G144" s="533"/>
      <c r="H144" s="534"/>
      <c r="I144" s="136" t="str">
        <f>I$13</f>
        <v>75</v>
      </c>
      <c r="J144" s="197" t="str">
        <f>IF(F144&gt;0,MAX(0,I144-F144),"")</f>
        <v/>
      </c>
    </row>
    <row r="145" spans="1:10">
      <c r="A145" s="163" t="s">
        <v>18</v>
      </c>
      <c r="B145" s="530" t="s">
        <v>22</v>
      </c>
      <c r="C145" s="531"/>
      <c r="D145" s="530" t="s">
        <v>83</v>
      </c>
      <c r="E145" s="531"/>
      <c r="F145" s="532">
        <f>ROUND((SUMIF($J$23:$J$112,A145,$I$23:$I$112))*0.83,0)</f>
        <v>0</v>
      </c>
      <c r="G145" s="533"/>
      <c r="H145" s="534"/>
      <c r="I145" s="136" t="str">
        <f t="shared" ref="I145:I146" si="14">I$13</f>
        <v>75</v>
      </c>
      <c r="J145" s="197" t="str">
        <f>IF(F145&gt;0,MAX(0,I145-F145),"")</f>
        <v/>
      </c>
    </row>
    <row r="146" spans="1:10">
      <c r="A146" s="163" t="s">
        <v>19</v>
      </c>
      <c r="B146" s="530" t="s">
        <v>20</v>
      </c>
      <c r="C146" s="531"/>
      <c r="D146" s="530" t="s">
        <v>83</v>
      </c>
      <c r="E146" s="531"/>
      <c r="F146" s="532">
        <f>ROUND((SUMIF($J$23:$J$112,A146,$I$23:$I$112))*0.83,0)</f>
        <v>0</v>
      </c>
      <c r="G146" s="533"/>
      <c r="H146" s="534"/>
      <c r="I146" s="136" t="str">
        <f t="shared" si="14"/>
        <v>75</v>
      </c>
      <c r="J146" s="197" t="str">
        <f>IF(F146&gt;0,MAX(0,I146-F146),"")</f>
        <v/>
      </c>
    </row>
    <row r="147" spans="1:10">
      <c r="A147" s="173"/>
      <c r="B147" s="134"/>
      <c r="C147" s="134"/>
      <c r="D147" s="195"/>
      <c r="E147" s="195"/>
      <c r="F147" s="135"/>
      <c r="G147" s="135"/>
      <c r="H147" s="135"/>
      <c r="I147" s="136"/>
      <c r="J147" s="221"/>
    </row>
    <row r="148" spans="1:10" ht="15.75" customHeight="1">
      <c r="A148" s="170" t="s">
        <v>379</v>
      </c>
      <c r="B148" s="171"/>
      <c r="C148" s="172"/>
      <c r="D148" s="225"/>
      <c r="E148" s="225"/>
      <c r="F148" s="183"/>
      <c r="G148" s="183"/>
      <c r="H148" s="183"/>
      <c r="I148" s="247"/>
      <c r="J148" s="223"/>
    </row>
    <row r="149" spans="1:10">
      <c r="A149" s="163" t="s">
        <v>76</v>
      </c>
      <c r="B149" s="530" t="s">
        <v>77</v>
      </c>
      <c r="C149" s="531"/>
      <c r="D149" s="530" t="s">
        <v>83</v>
      </c>
      <c r="E149" s="531"/>
      <c r="F149" s="532">
        <f>ROUND((SUMIF($J$23:$J$112,A149,$I$23:$I$112))*0.83,0)</f>
        <v>0</v>
      </c>
      <c r="G149" s="533"/>
      <c r="H149" s="534"/>
      <c r="I149" s="136" t="str">
        <f>I$13</f>
        <v>75</v>
      </c>
      <c r="J149" s="197" t="str">
        <f>IF(F149&gt;0,MAX(0,I149-F149),"")</f>
        <v/>
      </c>
    </row>
    <row r="150" spans="1:10" ht="15.75" customHeight="1">
      <c r="A150" s="163" t="s">
        <v>78</v>
      </c>
      <c r="B150" s="530" t="s">
        <v>79</v>
      </c>
      <c r="C150" s="531"/>
      <c r="D150" s="530" t="s">
        <v>83</v>
      </c>
      <c r="E150" s="531"/>
      <c r="F150" s="532">
        <f>ROUND((SUMIF($J$23:$J$112,A150,$I$23:$I$112))*0.83,0)</f>
        <v>0</v>
      </c>
      <c r="G150" s="533"/>
      <c r="H150" s="534"/>
      <c r="I150" s="136" t="str">
        <f t="shared" ref="I150:I151" si="15">I$13</f>
        <v>75</v>
      </c>
      <c r="J150" s="197" t="str">
        <f>IF(F150&gt;0,MAX(0,I150-F150),"")</f>
        <v/>
      </c>
    </row>
    <row r="151" spans="1:10">
      <c r="A151" s="163" t="s">
        <v>80</v>
      </c>
      <c r="B151" s="530" t="s">
        <v>81</v>
      </c>
      <c r="C151" s="531"/>
      <c r="D151" s="530" t="s">
        <v>83</v>
      </c>
      <c r="E151" s="531"/>
      <c r="F151" s="532">
        <f>ROUND((SUMIF($J$23:$J$112,A151,$I$23:$I$112))*0.83,0)</f>
        <v>0</v>
      </c>
      <c r="G151" s="533"/>
      <c r="H151" s="534"/>
      <c r="I151" s="136" t="str">
        <f t="shared" si="15"/>
        <v>75</v>
      </c>
      <c r="J151" s="197" t="str">
        <f>IF(F151&gt;0,MAX(0,I151-F151),"")</f>
        <v/>
      </c>
    </row>
    <row r="152" spans="1:10">
      <c r="A152" s="174"/>
      <c r="B152" s="175"/>
      <c r="C152" s="175"/>
      <c r="D152" s="195"/>
      <c r="E152" s="195"/>
      <c r="F152" s="135"/>
      <c r="G152" s="135"/>
      <c r="H152" s="135"/>
      <c r="I152" s="136"/>
      <c r="J152" s="221"/>
    </row>
    <row r="153" spans="1:10" ht="15.75" customHeight="1">
      <c r="A153" s="170" t="s">
        <v>380</v>
      </c>
      <c r="B153" s="171"/>
      <c r="C153" s="172"/>
      <c r="D153" s="225"/>
      <c r="E153" s="225"/>
      <c r="F153" s="183"/>
      <c r="G153" s="183"/>
      <c r="H153" s="183"/>
      <c r="I153" s="247"/>
      <c r="J153" s="223"/>
    </row>
    <row r="154" spans="1:10">
      <c r="A154" s="163" t="s">
        <v>84</v>
      </c>
      <c r="B154" s="530" t="s">
        <v>87</v>
      </c>
      <c r="C154" s="531"/>
      <c r="D154" s="530">
        <v>3</v>
      </c>
      <c r="E154" s="531"/>
      <c r="F154" s="532">
        <f>ROUND((SUMIF($J$23:$J$112,A154,$I$23:$I$112))*0.83,0)</f>
        <v>0</v>
      </c>
      <c r="G154" s="533"/>
      <c r="H154" s="534"/>
      <c r="I154" s="136" t="str">
        <f>I$13</f>
        <v>75</v>
      </c>
      <c r="J154" s="197" t="str">
        <f>IF(F154&gt;0,MAX(0,I154-F154),"")</f>
        <v/>
      </c>
    </row>
    <row r="155" spans="1:10">
      <c r="A155" s="163" t="s">
        <v>85</v>
      </c>
      <c r="B155" s="530" t="s">
        <v>88</v>
      </c>
      <c r="C155" s="531"/>
      <c r="D155" s="530" t="s">
        <v>83</v>
      </c>
      <c r="E155" s="531"/>
      <c r="F155" s="532">
        <f>ROUND((SUMIF($J$23:$J$112,A155,$I$23:$I$112))*0.83,0)</f>
        <v>0</v>
      </c>
      <c r="G155" s="533"/>
      <c r="H155" s="534"/>
      <c r="I155" s="136" t="str">
        <f t="shared" ref="I155:I156" si="16">I$13</f>
        <v>75</v>
      </c>
      <c r="J155" s="197" t="str">
        <f>IF(F155&gt;0,MAX(0,I155-F155),"")</f>
        <v/>
      </c>
    </row>
    <row r="156" spans="1:10">
      <c r="A156" s="163" t="s">
        <v>86</v>
      </c>
      <c r="B156" s="530" t="s">
        <v>89</v>
      </c>
      <c r="C156" s="531"/>
      <c r="D156" s="530" t="s">
        <v>83</v>
      </c>
      <c r="E156" s="531"/>
      <c r="F156" s="532">
        <f>ROUND((SUMIF($J$23:$J$112,A156,$I$23:$I$112))*0.83,0)</f>
        <v>0</v>
      </c>
      <c r="G156" s="533"/>
      <c r="H156" s="534"/>
      <c r="I156" s="136" t="str">
        <f t="shared" si="16"/>
        <v>75</v>
      </c>
      <c r="J156" s="197" t="str">
        <f>IF(F156&gt;0,MAX(0,I156-F156),"")</f>
        <v/>
      </c>
    </row>
    <row r="157" spans="1:10">
      <c r="A157" s="173"/>
      <c r="B157" s="134"/>
      <c r="C157" s="134"/>
      <c r="D157" s="195"/>
      <c r="E157" s="195"/>
      <c r="F157" s="135"/>
      <c r="G157" s="135"/>
      <c r="H157" s="135"/>
      <c r="I157" s="136"/>
      <c r="J157" s="221"/>
    </row>
    <row r="158" spans="1:10" ht="15.75" customHeight="1">
      <c r="A158" s="541" t="s">
        <v>381</v>
      </c>
      <c r="B158" s="541"/>
      <c r="C158" s="172"/>
      <c r="D158" s="183"/>
      <c r="E158" s="183"/>
      <c r="F158" s="183"/>
      <c r="G158" s="183"/>
      <c r="H158" s="183"/>
      <c r="I158" s="247"/>
      <c r="J158" s="223"/>
    </row>
    <row r="159" spans="1:10">
      <c r="A159" s="163" t="s">
        <v>29</v>
      </c>
      <c r="B159" s="530" t="s">
        <v>90</v>
      </c>
      <c r="C159" s="531"/>
      <c r="D159" s="530" t="s">
        <v>83</v>
      </c>
      <c r="E159" s="531"/>
      <c r="F159" s="532">
        <f>ROUND((SUMIF($J$23:$J$112,A159,$I$23:$I$112))*0.83,0)</f>
        <v>0</v>
      </c>
      <c r="G159" s="533"/>
      <c r="H159" s="534"/>
      <c r="I159" s="136" t="str">
        <f>I$13</f>
        <v>75</v>
      </c>
      <c r="J159" s="197" t="str">
        <f>IF(F159&gt;0,MAX(0,I159-F159),"")</f>
        <v/>
      </c>
    </row>
    <row r="160" spans="1:10">
      <c r="A160" s="163" t="s">
        <v>82</v>
      </c>
      <c r="B160" s="530" t="s">
        <v>91</v>
      </c>
      <c r="C160" s="531"/>
      <c r="D160" s="530">
        <v>2</v>
      </c>
      <c r="E160" s="531"/>
      <c r="F160" s="532">
        <f>ROUND((SUMIF($J$23:$J$112,A160,$I$23:$I$112))*0.83,0)</f>
        <v>0</v>
      </c>
      <c r="G160" s="533"/>
      <c r="H160" s="534"/>
      <c r="I160" s="136" t="str">
        <f t="shared" ref="I160:I161" si="17">I$13</f>
        <v>75</v>
      </c>
      <c r="J160" s="197" t="str">
        <f>IF(F160&gt;0,MAX(0,I160-F160),"")</f>
        <v/>
      </c>
    </row>
    <row r="161" spans="1:10">
      <c r="A161" s="163" t="s">
        <v>92</v>
      </c>
      <c r="B161" s="530" t="s">
        <v>93</v>
      </c>
      <c r="C161" s="531"/>
      <c r="D161" s="530" t="s">
        <v>83</v>
      </c>
      <c r="E161" s="531"/>
      <c r="F161" s="532">
        <f>ROUND((SUMIF($J$23:$J$112,A161,$I$23:$I$112))*0.83,0)</f>
        <v>0</v>
      </c>
      <c r="G161" s="533"/>
      <c r="H161" s="534"/>
      <c r="I161" s="136" t="str">
        <f t="shared" si="17"/>
        <v>75</v>
      </c>
      <c r="J161" s="197" t="str">
        <f>IF(F161&gt;0,MAX(0,I161-F161),"")</f>
        <v/>
      </c>
    </row>
    <row r="162" spans="1:10">
      <c r="A162" s="174"/>
      <c r="B162" s="175"/>
      <c r="C162" s="175"/>
      <c r="D162" s="135"/>
      <c r="E162" s="135"/>
      <c r="F162" s="135"/>
      <c r="G162" s="135"/>
      <c r="H162" s="135"/>
      <c r="I162" s="221"/>
      <c r="J162" s="135"/>
    </row>
    <row r="163" spans="1:10" ht="16.5" hidden="1" customHeight="1">
      <c r="A163" s="173"/>
      <c r="B163" s="134"/>
      <c r="C163" s="134"/>
      <c r="D163" s="135"/>
      <c r="E163" s="135"/>
      <c r="F163" s="135"/>
      <c r="G163" s="135"/>
      <c r="H163" s="135"/>
      <c r="I163" s="221"/>
      <c r="J163" s="135"/>
    </row>
    <row r="164" spans="1:10" ht="21" hidden="1" customHeight="1">
      <c r="A164" s="176" t="s">
        <v>399</v>
      </c>
      <c r="B164" s="545" t="s">
        <v>375</v>
      </c>
      <c r="C164" s="546"/>
      <c r="D164" s="546"/>
      <c r="E164" s="546"/>
      <c r="F164" s="547">
        <f>SUMIF(A23:A112,"* Other competencies",I23:I112)</f>
        <v>0</v>
      </c>
      <c r="G164" s="548"/>
      <c r="H164" s="549"/>
      <c r="I164" s="189"/>
      <c r="J164" s="184"/>
    </row>
    <row r="165" spans="1:10" ht="21" customHeight="1">
      <c r="A165" s="190"/>
      <c r="B165" s="191"/>
      <c r="C165" s="191"/>
      <c r="D165" s="191"/>
      <c r="E165" s="191"/>
      <c r="F165" s="189"/>
      <c r="G165" s="189"/>
      <c r="H165" s="189"/>
      <c r="I165" s="189"/>
      <c r="J165" s="184"/>
    </row>
    <row r="166" spans="1:10" ht="21.75" customHeight="1">
      <c r="A166" s="190"/>
      <c r="B166" s="191"/>
      <c r="C166" s="134"/>
      <c r="D166" s="252" t="s">
        <v>484</v>
      </c>
      <c r="E166" s="191"/>
      <c r="F166" s="189"/>
      <c r="G166" s="189"/>
      <c r="H166" s="189"/>
      <c r="I166" s="189"/>
      <c r="J166" s="184"/>
    </row>
    <row r="167" spans="1:10" ht="25.5" customHeight="1">
      <c r="A167" s="190"/>
      <c r="B167" s="553"/>
      <c r="C167" s="553"/>
      <c r="D167" s="554" t="s">
        <v>413</v>
      </c>
      <c r="E167" s="554"/>
      <c r="F167" s="554"/>
      <c r="G167" s="554"/>
      <c r="H167" s="554"/>
      <c r="I167" s="189"/>
      <c r="J167" s="184"/>
    </row>
    <row r="168" spans="1:10" ht="18.75" customHeight="1">
      <c r="A168" s="177"/>
      <c r="B168" s="551" t="s">
        <v>400</v>
      </c>
      <c r="C168" s="551"/>
      <c r="D168" s="160" t="s">
        <v>392</v>
      </c>
      <c r="E168" s="160" t="s">
        <v>393</v>
      </c>
      <c r="F168" s="160" t="s">
        <v>394</v>
      </c>
      <c r="G168" s="160" t="s">
        <v>395</v>
      </c>
      <c r="H168" s="160" t="s">
        <v>396</v>
      </c>
      <c r="I168" s="192"/>
      <c r="J168" s="161" t="s">
        <v>453</v>
      </c>
    </row>
    <row r="169" spans="1:10" ht="22.5" customHeight="1">
      <c r="A169" s="134"/>
      <c r="B169" s="543" t="s">
        <v>404</v>
      </c>
      <c r="C169" s="543"/>
      <c r="D169" s="198">
        <f>D118</f>
        <v>220</v>
      </c>
      <c r="E169" s="198">
        <f>E118</f>
        <v>220</v>
      </c>
      <c r="F169" s="198">
        <f>F118</f>
        <v>50</v>
      </c>
      <c r="G169" s="198">
        <f>G118</f>
        <v>0</v>
      </c>
      <c r="H169" s="198">
        <f>H118</f>
        <v>0</v>
      </c>
      <c r="I169" s="221"/>
      <c r="J169" s="198">
        <f>SUM(D169:H169)</f>
        <v>490</v>
      </c>
    </row>
    <row r="170" spans="1:10" ht="22.5" customHeight="1">
      <c r="A170" s="134"/>
      <c r="B170" s="543" t="s">
        <v>412</v>
      </c>
      <c r="C170" s="543"/>
      <c r="D170" s="181">
        <f>ROUND(D169*0.83,0)</f>
        <v>183</v>
      </c>
      <c r="E170" s="181">
        <f t="shared" ref="E170:H170" si="18">ROUND(E169*0.83,0)</f>
        <v>183</v>
      </c>
      <c r="F170" s="181">
        <f t="shared" si="18"/>
        <v>42</v>
      </c>
      <c r="G170" s="181">
        <f t="shared" si="18"/>
        <v>0</v>
      </c>
      <c r="H170" s="181">
        <f t="shared" si="18"/>
        <v>0</v>
      </c>
      <c r="I170" s="221"/>
      <c r="J170" s="181">
        <f t="shared" ref="J170" si="19">SUM(D170:H170)</f>
        <v>408</v>
      </c>
    </row>
    <row r="171" spans="1:10" ht="22.5" customHeight="1">
      <c r="A171" s="134"/>
      <c r="B171" s="543" t="s">
        <v>490</v>
      </c>
      <c r="C171" s="543"/>
      <c r="D171" s="161">
        <v>130</v>
      </c>
      <c r="E171" s="161">
        <v>130</v>
      </c>
      <c r="F171" s="161">
        <v>130</v>
      </c>
      <c r="G171" s="161">
        <v>130</v>
      </c>
      <c r="H171" s="161">
        <v>130</v>
      </c>
      <c r="I171" s="136" t="str">
        <f>I14</f>
        <v>500</v>
      </c>
      <c r="J171" s="250" t="s">
        <v>478</v>
      </c>
    </row>
    <row r="172" spans="1:10" ht="21" customHeight="1" thickBot="1">
      <c r="A172" s="134"/>
      <c r="B172" s="544" t="s">
        <v>491</v>
      </c>
      <c r="C172" s="544"/>
      <c r="D172" s="199">
        <f>MAX(0,D171-D170)</f>
        <v>0</v>
      </c>
      <c r="E172" s="199">
        <f t="shared" ref="E172:H172" si="20">MAX(0,E171-E170)</f>
        <v>0</v>
      </c>
      <c r="F172" s="199">
        <f t="shared" si="20"/>
        <v>88</v>
      </c>
      <c r="G172" s="199">
        <f t="shared" si="20"/>
        <v>130</v>
      </c>
      <c r="H172" s="199">
        <f t="shared" si="20"/>
        <v>130</v>
      </c>
      <c r="I172" s="193"/>
      <c r="J172" s="249">
        <f>MAX(0,I171-J170)</f>
        <v>92</v>
      </c>
    </row>
    <row r="173" spans="1:10" ht="15.75" customHeight="1" thickTop="1">
      <c r="A173" s="134"/>
      <c r="B173" s="134"/>
      <c r="C173" s="136"/>
      <c r="D173" s="136"/>
      <c r="E173" s="136"/>
      <c r="F173" s="136"/>
      <c r="G173" s="136"/>
      <c r="H173" s="136"/>
      <c r="I173" s="136"/>
      <c r="J173" s="135"/>
    </row>
    <row r="174" spans="1:10">
      <c r="A174" s="134"/>
      <c r="B174" s="134"/>
      <c r="C174" s="134"/>
      <c r="D174" s="136"/>
      <c r="E174" s="136"/>
      <c r="F174" s="136"/>
      <c r="G174" s="136"/>
      <c r="H174" s="136"/>
      <c r="I174" s="136"/>
      <c r="J174" s="135"/>
    </row>
    <row r="175" spans="1:10">
      <c r="A175" s="134"/>
      <c r="B175" s="134"/>
      <c r="C175" s="134"/>
      <c r="D175" s="136"/>
      <c r="E175" s="136"/>
      <c r="F175" s="136"/>
      <c r="G175" s="136"/>
      <c r="H175" s="136"/>
      <c r="I175" s="136"/>
      <c r="J175" s="135"/>
    </row>
    <row r="176" spans="1:10">
      <c r="A176" s="134"/>
      <c r="B176" s="134"/>
      <c r="C176" s="134"/>
      <c r="D176" s="136"/>
      <c r="E176" s="136"/>
      <c r="F176" s="136"/>
      <c r="G176" s="136"/>
      <c r="H176" s="136"/>
      <c r="I176" s="136"/>
      <c r="J176" s="135"/>
    </row>
    <row r="177" spans="1:10">
      <c r="A177" s="134"/>
      <c r="B177" s="134"/>
      <c r="C177" s="134"/>
      <c r="D177" s="136"/>
      <c r="E177" s="136"/>
      <c r="F177" s="136"/>
      <c r="G177" s="136"/>
      <c r="H177" s="136"/>
      <c r="I177" s="136"/>
      <c r="J177" s="135"/>
    </row>
  </sheetData>
  <mergeCells count="84">
    <mergeCell ref="B170:C170"/>
    <mergeCell ref="B171:C171"/>
    <mergeCell ref="B172:C172"/>
    <mergeCell ref="B164:E164"/>
    <mergeCell ref="F164:H164"/>
    <mergeCell ref="B167:C167"/>
    <mergeCell ref="D167:H167"/>
    <mergeCell ref="B168:C168"/>
    <mergeCell ref="B169:C169"/>
    <mergeCell ref="B160:C160"/>
    <mergeCell ref="D160:E160"/>
    <mergeCell ref="F160:H160"/>
    <mergeCell ref="B161:C161"/>
    <mergeCell ref="D161:E161"/>
    <mergeCell ref="F161:H161"/>
    <mergeCell ref="B156:C156"/>
    <mergeCell ref="D156:E156"/>
    <mergeCell ref="F156:H156"/>
    <mergeCell ref="A158:B158"/>
    <mergeCell ref="B159:C159"/>
    <mergeCell ref="D159:E159"/>
    <mergeCell ref="F159:H159"/>
    <mergeCell ref="B154:C154"/>
    <mergeCell ref="D154:E154"/>
    <mergeCell ref="F154:H154"/>
    <mergeCell ref="B155:C155"/>
    <mergeCell ref="D155:E155"/>
    <mergeCell ref="F155:H155"/>
    <mergeCell ref="B150:C150"/>
    <mergeCell ref="D150:E150"/>
    <mergeCell ref="F150:H150"/>
    <mergeCell ref="B151:C151"/>
    <mergeCell ref="D151:E151"/>
    <mergeCell ref="F151:H151"/>
    <mergeCell ref="B146:C146"/>
    <mergeCell ref="D146:E146"/>
    <mergeCell ref="F146:H146"/>
    <mergeCell ref="B149:C149"/>
    <mergeCell ref="D149:E149"/>
    <mergeCell ref="F149:H149"/>
    <mergeCell ref="B144:C144"/>
    <mergeCell ref="D144:E144"/>
    <mergeCell ref="F144:H144"/>
    <mergeCell ref="B145:C145"/>
    <mergeCell ref="D145:E145"/>
    <mergeCell ref="F145:H145"/>
    <mergeCell ref="B140:C140"/>
    <mergeCell ref="D140:E140"/>
    <mergeCell ref="F140:H140"/>
    <mergeCell ref="B141:C141"/>
    <mergeCell ref="D141:E141"/>
    <mergeCell ref="F141:H141"/>
    <mergeCell ref="B136:C136"/>
    <mergeCell ref="D136:E136"/>
    <mergeCell ref="F136:H136"/>
    <mergeCell ref="B139:C139"/>
    <mergeCell ref="D139:E139"/>
    <mergeCell ref="F139:H139"/>
    <mergeCell ref="B134:C134"/>
    <mergeCell ref="D134:E134"/>
    <mergeCell ref="F134:H134"/>
    <mergeCell ref="B135:C135"/>
    <mergeCell ref="D135:E135"/>
    <mergeCell ref="F135:H135"/>
    <mergeCell ref="B117:C117"/>
    <mergeCell ref="B118:C118"/>
    <mergeCell ref="A129:J129"/>
    <mergeCell ref="I131:I133"/>
    <mergeCell ref="J131:J133"/>
    <mergeCell ref="D132:E133"/>
    <mergeCell ref="F132:H133"/>
    <mergeCell ref="D62:H62"/>
    <mergeCell ref="J62:J63"/>
    <mergeCell ref="A1:J1"/>
    <mergeCell ref="A5:K5"/>
    <mergeCell ref="A6:K6"/>
    <mergeCell ref="A7:J7"/>
    <mergeCell ref="A8:K8"/>
    <mergeCell ref="A9:K9"/>
    <mergeCell ref="A10:K10"/>
    <mergeCell ref="A13:B13"/>
    <mergeCell ref="D21:H21"/>
    <mergeCell ref="I21:I22"/>
    <mergeCell ref="J21:J22"/>
  </mergeCells>
  <phoneticPr fontId="2" type="noConversion"/>
  <dataValidations count="1">
    <dataValidation type="list" showInputMessage="1" showErrorMessage="1" sqref="A13:B13" xr:uid="{00000000-0002-0000-0D00-000000000000}">
      <formula1>$B$15:$B$18</formula1>
    </dataValidation>
  </dataValidations>
  <pageMargins left="0.43307086614173229" right="0.35433070866141736" top="0.74803149606299213" bottom="0.59055118110236227" header="0.31496062992125984" footer="0.31496062992125984"/>
  <pageSetup paperSize="9" scale="60" fitToHeight="0" orientation="portrait" horizontalDpi="300" verticalDpi="300" r:id="rId1"/>
  <headerFooter>
    <oddFooter>&amp;C&amp;"Arial,Regular"&amp;10Page &amp;P of &amp;N</oddFooter>
  </headerFooter>
  <rowBreaks count="2" manualBreakCount="2">
    <brk id="59" max="10" man="1"/>
    <brk id="120" max="10" man="1"/>
  </rowBreaks>
  <colBreaks count="1" manualBreakCount="1">
    <brk id="11" max="9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J22"/>
  <sheetViews>
    <sheetView zoomScale="80" zoomScaleNormal="80" workbookViewId="0">
      <selection activeCell="D170" sqref="D170"/>
    </sheetView>
  </sheetViews>
  <sheetFormatPr defaultColWidth="9" defaultRowHeight="15.75"/>
  <cols>
    <col min="1" max="1" width="3" style="1" customWidth="1"/>
    <col min="2" max="2" width="2.5" style="1" customWidth="1"/>
    <col min="3" max="4" width="20.5" style="1" customWidth="1"/>
    <col min="5" max="5" width="20.5" style="2" customWidth="1"/>
    <col min="6" max="6" width="1.5" style="2" customWidth="1"/>
    <col min="7" max="7" width="2.875" style="1" customWidth="1"/>
    <col min="8" max="8" width="25.5" style="1" customWidth="1"/>
    <col min="9" max="9" width="26" style="1" customWidth="1"/>
    <col min="10" max="10" width="13.5" style="1" customWidth="1"/>
    <col min="11" max="16384" width="9" style="1"/>
  </cols>
  <sheetData>
    <row r="1" spans="1:10" ht="40.5" customHeight="1">
      <c r="A1" s="71" t="s">
        <v>415</v>
      </c>
      <c r="C1" s="18"/>
    </row>
    <row r="2" spans="1:10" ht="22.5" customHeight="1"/>
    <row r="3" spans="1:10" ht="27.75" customHeight="1">
      <c r="B3" s="230" t="s">
        <v>430</v>
      </c>
      <c r="C3" s="204"/>
      <c r="D3" s="118"/>
      <c r="E3" s="119"/>
      <c r="F3" s="205"/>
      <c r="G3" s="204" t="s">
        <v>431</v>
      </c>
      <c r="H3" s="118"/>
      <c r="I3" s="118"/>
      <c r="J3" s="206"/>
    </row>
    <row r="4" spans="1:10" ht="24.75" customHeight="1">
      <c r="B4" s="116" t="s">
        <v>418</v>
      </c>
      <c r="E4" s="215"/>
      <c r="F4" s="207"/>
      <c r="G4" s="216"/>
      <c r="H4" s="36"/>
      <c r="J4" s="117"/>
    </row>
    <row r="5" spans="1:10" s="6" customFormat="1">
      <c r="B5" s="208" t="s">
        <v>422</v>
      </c>
      <c r="C5" s="558" t="s">
        <v>416</v>
      </c>
      <c r="D5" s="558"/>
      <c r="E5" s="558"/>
      <c r="F5" s="209"/>
      <c r="G5" s="6" t="s">
        <v>422</v>
      </c>
      <c r="H5" s="421" t="s">
        <v>417</v>
      </c>
      <c r="I5" s="421"/>
      <c r="J5" s="228"/>
    </row>
    <row r="6" spans="1:10" s="6" customFormat="1" ht="33.75" customHeight="1">
      <c r="B6" s="208" t="s">
        <v>423</v>
      </c>
      <c r="C6" s="421" t="s">
        <v>427</v>
      </c>
      <c r="D6" s="421"/>
      <c r="E6" s="421"/>
      <c r="F6" s="209"/>
      <c r="G6" s="6" t="s">
        <v>423</v>
      </c>
      <c r="H6" s="421" t="s">
        <v>428</v>
      </c>
      <c r="I6" s="421"/>
      <c r="J6" s="555"/>
    </row>
    <row r="7" spans="1:10" ht="19.5" customHeight="1">
      <c r="B7" s="208" t="s">
        <v>424</v>
      </c>
      <c r="C7" s="421" t="s">
        <v>419</v>
      </c>
      <c r="D7" s="421"/>
      <c r="E7" s="421"/>
      <c r="F7" s="209"/>
      <c r="G7" s="6" t="s">
        <v>424</v>
      </c>
      <c r="H7" s="421" t="s">
        <v>419</v>
      </c>
      <c r="I7" s="421"/>
      <c r="J7" s="117"/>
    </row>
    <row r="8" spans="1:10" s="43" customFormat="1" ht="31.5" customHeight="1">
      <c r="B8" s="231"/>
      <c r="C8" s="226" t="s">
        <v>385</v>
      </c>
      <c r="D8" s="219" t="s">
        <v>170</v>
      </c>
      <c r="E8" s="219" t="s">
        <v>426</v>
      </c>
      <c r="F8" s="201"/>
      <c r="G8" s="560" t="s">
        <v>170</v>
      </c>
      <c r="H8" s="560"/>
      <c r="I8" s="219" t="s">
        <v>426</v>
      </c>
      <c r="J8" s="229"/>
    </row>
    <row r="9" spans="1:10" ht="58.5" customHeight="1">
      <c r="B9" s="210"/>
      <c r="C9" s="227" t="s">
        <v>386</v>
      </c>
      <c r="D9" s="218">
        <v>3</v>
      </c>
      <c r="E9" s="4">
        <v>600</v>
      </c>
      <c r="F9" s="202"/>
      <c r="G9" s="424">
        <v>3</v>
      </c>
      <c r="H9" s="424"/>
      <c r="I9" s="3">
        <v>500</v>
      </c>
      <c r="J9" s="117"/>
    </row>
    <row r="10" spans="1:10" ht="31.5" customHeight="1">
      <c r="B10" s="210"/>
      <c r="C10" s="227" t="s">
        <v>387</v>
      </c>
      <c r="D10" s="218">
        <v>4</v>
      </c>
      <c r="E10" s="4">
        <v>800</v>
      </c>
      <c r="F10" s="202"/>
      <c r="G10" s="424">
        <v>4</v>
      </c>
      <c r="H10" s="424"/>
      <c r="I10" s="3">
        <v>670</v>
      </c>
      <c r="J10" s="117"/>
    </row>
    <row r="11" spans="1:10" ht="42.75" customHeight="1">
      <c r="B11" s="210"/>
      <c r="C11" s="227" t="s">
        <v>388</v>
      </c>
      <c r="D11" s="218">
        <v>5</v>
      </c>
      <c r="E11" s="4">
        <v>1000</v>
      </c>
      <c r="F11" s="202"/>
      <c r="G11" s="424">
        <v>5</v>
      </c>
      <c r="H11" s="424"/>
      <c r="I11" s="3">
        <v>830</v>
      </c>
      <c r="J11" s="117"/>
    </row>
    <row r="12" spans="1:10">
      <c r="B12" s="210"/>
      <c r="C12" s="122"/>
      <c r="D12" s="200"/>
      <c r="E12" s="74"/>
      <c r="F12" s="203"/>
      <c r="G12" s="20"/>
      <c r="H12" s="122"/>
      <c r="J12" s="117"/>
    </row>
    <row r="13" spans="1:10" ht="23.25" customHeight="1">
      <c r="B13" s="116" t="s">
        <v>162</v>
      </c>
      <c r="F13" s="207"/>
      <c r="H13" s="2"/>
      <c r="J13" s="117"/>
    </row>
    <row r="14" spans="1:10" ht="39" customHeight="1">
      <c r="B14" s="208" t="s">
        <v>422</v>
      </c>
      <c r="C14" s="421" t="s">
        <v>389</v>
      </c>
      <c r="D14" s="421"/>
      <c r="E14" s="421"/>
      <c r="F14" s="207"/>
      <c r="G14" s="6" t="s">
        <v>422</v>
      </c>
      <c r="H14" s="421" t="s">
        <v>391</v>
      </c>
      <c r="I14" s="421"/>
      <c r="J14" s="555"/>
    </row>
    <row r="15" spans="1:10" ht="52.5" customHeight="1">
      <c r="B15" s="208" t="s">
        <v>423</v>
      </c>
      <c r="C15" s="421" t="s">
        <v>390</v>
      </c>
      <c r="D15" s="421"/>
      <c r="E15" s="555"/>
      <c r="F15" s="211"/>
      <c r="G15" s="6" t="s">
        <v>423</v>
      </c>
      <c r="H15" s="558" t="s">
        <v>163</v>
      </c>
      <c r="I15" s="558"/>
      <c r="J15" s="559"/>
    </row>
    <row r="16" spans="1:10" ht="50.25" customHeight="1">
      <c r="B16" s="208" t="s">
        <v>424</v>
      </c>
      <c r="C16" s="421" t="s">
        <v>420</v>
      </c>
      <c r="D16" s="421"/>
      <c r="E16" s="555"/>
      <c r="F16" s="211"/>
      <c r="G16" s="208" t="s">
        <v>424</v>
      </c>
      <c r="H16" s="421" t="s">
        <v>432</v>
      </c>
      <c r="I16" s="558"/>
      <c r="J16" s="559"/>
    </row>
    <row r="17" spans="2:10" ht="50.25" customHeight="1">
      <c r="B17" s="214" t="s">
        <v>425</v>
      </c>
      <c r="C17" s="556" t="s">
        <v>421</v>
      </c>
      <c r="D17" s="556"/>
      <c r="E17" s="556"/>
      <c r="F17" s="213"/>
      <c r="G17" s="212" t="s">
        <v>425</v>
      </c>
      <c r="H17" s="556" t="s">
        <v>429</v>
      </c>
      <c r="I17" s="556"/>
      <c r="J17" s="557"/>
    </row>
    <row r="18" spans="2:10" ht="15">
      <c r="B18" s="6"/>
      <c r="C18" s="24"/>
      <c r="D18" s="24"/>
      <c r="E18" s="24"/>
      <c r="F18" s="186"/>
      <c r="G18" s="6"/>
      <c r="H18" s="24"/>
      <c r="I18" s="121"/>
      <c r="J18" s="121"/>
    </row>
    <row r="19" spans="2:10" ht="23.25" customHeight="1">
      <c r="B19" s="76" t="s">
        <v>433</v>
      </c>
      <c r="C19" s="77"/>
      <c r="D19" s="77"/>
      <c r="E19" s="78"/>
      <c r="F19" s="205"/>
      <c r="G19" s="77"/>
      <c r="H19" s="78"/>
      <c r="I19" s="77"/>
      <c r="J19" s="115"/>
    </row>
    <row r="20" spans="2:10" ht="33.75" customHeight="1">
      <c r="B20" s="116"/>
      <c r="F20" s="207"/>
      <c r="G20" s="208" t="s">
        <v>422</v>
      </c>
      <c r="H20" s="421" t="s">
        <v>434</v>
      </c>
      <c r="I20" s="558"/>
      <c r="J20" s="559"/>
    </row>
    <row r="21" spans="2:10" ht="33.75" customHeight="1">
      <c r="B21" s="214"/>
      <c r="C21" s="556"/>
      <c r="D21" s="556"/>
      <c r="E21" s="557"/>
      <c r="F21" s="213"/>
      <c r="G21" s="212" t="s">
        <v>423</v>
      </c>
      <c r="H21" s="556" t="s">
        <v>429</v>
      </c>
      <c r="I21" s="556"/>
      <c r="J21" s="557"/>
    </row>
    <row r="22" spans="2:10">
      <c r="B22" s="24"/>
      <c r="C22" s="24"/>
      <c r="D22" s="24"/>
      <c r="E22" s="49"/>
      <c r="F22" s="49"/>
      <c r="G22" s="24"/>
    </row>
  </sheetData>
  <mergeCells count="21">
    <mergeCell ref="H5:I5"/>
    <mergeCell ref="C5:E5"/>
    <mergeCell ref="C7:E7"/>
    <mergeCell ref="H7:I7"/>
    <mergeCell ref="G8:H8"/>
    <mergeCell ref="C6:E6"/>
    <mergeCell ref="H6:J6"/>
    <mergeCell ref="G11:H11"/>
    <mergeCell ref="G9:H9"/>
    <mergeCell ref="G10:H10"/>
    <mergeCell ref="H14:J14"/>
    <mergeCell ref="H16:J16"/>
    <mergeCell ref="C15:E15"/>
    <mergeCell ref="C16:E16"/>
    <mergeCell ref="C21:E21"/>
    <mergeCell ref="H15:J15"/>
    <mergeCell ref="C14:E14"/>
    <mergeCell ref="H21:J21"/>
    <mergeCell ref="C17:E17"/>
    <mergeCell ref="H17:J17"/>
    <mergeCell ref="H20:J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E72"/>
  <sheetViews>
    <sheetView workbookViewId="0">
      <selection activeCell="D170" sqref="D170"/>
    </sheetView>
  </sheetViews>
  <sheetFormatPr defaultColWidth="9" defaultRowHeight="15.75" outlineLevelRow="1"/>
  <cols>
    <col min="1" max="1" width="13.5" style="2" customWidth="1"/>
    <col min="2" max="2" width="14.875" style="2" customWidth="1"/>
    <col min="3" max="3" width="25.25" style="2" customWidth="1"/>
    <col min="4" max="4" width="81" style="2" customWidth="1"/>
    <col min="5" max="16384" width="9" style="2"/>
  </cols>
  <sheetData>
    <row r="1" spans="1:5" ht="20.25">
      <c r="A1" s="45" t="s">
        <v>353</v>
      </c>
    </row>
    <row r="2" spans="1:5" ht="18">
      <c r="A2" s="36"/>
    </row>
    <row r="3" spans="1:5" ht="18">
      <c r="A3" s="40" t="s">
        <v>354</v>
      </c>
      <c r="B3" s="41"/>
      <c r="C3" s="41"/>
      <c r="D3" s="41"/>
    </row>
    <row r="4" spans="1:5" ht="18">
      <c r="A4" s="34" t="s">
        <v>126</v>
      </c>
    </row>
    <row r="5" spans="1:5">
      <c r="A5" s="2" t="s">
        <v>130</v>
      </c>
      <c r="B5" s="1" t="s">
        <v>355</v>
      </c>
    </row>
    <row r="6" spans="1:5">
      <c r="B6" s="1"/>
    </row>
    <row r="7" spans="1:5">
      <c r="B7" s="81" t="s">
        <v>127</v>
      </c>
      <c r="C7" s="69" t="s">
        <v>215</v>
      </c>
    </row>
    <row r="8" spans="1:5">
      <c r="B8" s="82" t="s">
        <v>139</v>
      </c>
      <c r="C8" s="86">
        <v>140</v>
      </c>
      <c r="E8" s="1"/>
    </row>
    <row r="9" spans="1:5">
      <c r="B9" s="82" t="s">
        <v>142</v>
      </c>
      <c r="C9" s="86">
        <v>185</v>
      </c>
    </row>
    <row r="10" spans="1:5">
      <c r="B10" s="83" t="s">
        <v>143</v>
      </c>
      <c r="C10" s="87">
        <v>178</v>
      </c>
    </row>
    <row r="11" spans="1:5">
      <c r="B11" s="84" t="s">
        <v>150</v>
      </c>
      <c r="C11" s="88">
        <f>SUM(C8:C10)</f>
        <v>503</v>
      </c>
    </row>
    <row r="12" spans="1:5">
      <c r="B12" s="8"/>
    </row>
    <row r="13" spans="1:5">
      <c r="A13" s="2" t="s">
        <v>128</v>
      </c>
      <c r="B13" s="2" t="s">
        <v>346</v>
      </c>
      <c r="E13" s="27"/>
    </row>
    <row r="14" spans="1:5" ht="42" customHeight="1">
      <c r="B14" s="415" t="s">
        <v>286</v>
      </c>
      <c r="C14" s="415"/>
      <c r="D14" s="415"/>
    </row>
    <row r="15" spans="1:5">
      <c r="A15" s="2" t="s">
        <v>145</v>
      </c>
      <c r="B15" s="427" t="s">
        <v>149</v>
      </c>
      <c r="C15" s="427"/>
      <c r="D15" s="427"/>
    </row>
    <row r="16" spans="1:5">
      <c r="B16" s="1" t="s">
        <v>282</v>
      </c>
      <c r="C16" s="1"/>
      <c r="D16" s="1"/>
    </row>
    <row r="17" spans="1:5">
      <c r="B17" s="1" t="s">
        <v>146</v>
      </c>
      <c r="C17" s="1"/>
      <c r="D17" s="1"/>
    </row>
    <row r="19" spans="1:5" ht="18">
      <c r="A19" s="34" t="s">
        <v>133</v>
      </c>
      <c r="B19" s="1"/>
      <c r="C19" s="27"/>
    </row>
    <row r="20" spans="1:5">
      <c r="A20" s="2" t="s">
        <v>130</v>
      </c>
      <c r="B20" s="1" t="s">
        <v>356</v>
      </c>
    </row>
    <row r="21" spans="1:5">
      <c r="B21" s="1"/>
    </row>
    <row r="22" spans="1:5">
      <c r="B22" s="81" t="s">
        <v>127</v>
      </c>
      <c r="C22" s="69" t="s">
        <v>215</v>
      </c>
      <c r="E22" s="1"/>
    </row>
    <row r="23" spans="1:5">
      <c r="B23" s="82" t="s">
        <v>138</v>
      </c>
      <c r="C23" s="89">
        <v>146</v>
      </c>
    </row>
    <row r="24" spans="1:5">
      <c r="B24" s="82" t="s">
        <v>144</v>
      </c>
      <c r="C24" s="89">
        <v>150</v>
      </c>
    </row>
    <row r="25" spans="1:5">
      <c r="B25" s="82" t="s">
        <v>143</v>
      </c>
      <c r="C25" s="89">
        <v>200</v>
      </c>
    </row>
    <row r="26" spans="1:5">
      <c r="B26" s="83" t="s">
        <v>148</v>
      </c>
      <c r="C26" s="90">
        <v>180</v>
      </c>
      <c r="E26" s="27"/>
    </row>
    <row r="27" spans="1:5">
      <c r="B27" s="84" t="s">
        <v>150</v>
      </c>
      <c r="C27" s="88">
        <f>SUM(C23:C26)</f>
        <v>676</v>
      </c>
    </row>
    <row r="28" spans="1:5">
      <c r="E28" s="42"/>
    </row>
    <row r="29" spans="1:5">
      <c r="A29" s="2" t="s">
        <v>128</v>
      </c>
      <c r="B29" s="2" t="s">
        <v>346</v>
      </c>
    </row>
    <row r="30" spans="1:5" ht="33" customHeight="1">
      <c r="B30" s="415" t="s">
        <v>283</v>
      </c>
      <c r="C30" s="415"/>
      <c r="D30" s="415"/>
    </row>
    <row r="31" spans="1:5">
      <c r="A31" s="2" t="s">
        <v>145</v>
      </c>
      <c r="B31" s="427" t="s">
        <v>149</v>
      </c>
      <c r="C31" s="427"/>
      <c r="D31" s="427"/>
    </row>
    <row r="32" spans="1:5">
      <c r="B32" s="1" t="s">
        <v>284</v>
      </c>
      <c r="C32" s="1"/>
      <c r="D32" s="1"/>
    </row>
    <row r="33" spans="1:5">
      <c r="B33" s="1" t="s">
        <v>157</v>
      </c>
      <c r="C33" s="1"/>
      <c r="D33" s="1"/>
    </row>
    <row r="35" spans="1:5" ht="18" hidden="1" outlineLevel="1">
      <c r="A35" s="40" t="s">
        <v>151</v>
      </c>
      <c r="B35" s="41"/>
      <c r="C35" s="41"/>
      <c r="D35" s="41"/>
    </row>
    <row r="36" spans="1:5" ht="18" hidden="1" outlineLevel="1">
      <c r="A36" s="34" t="s">
        <v>237</v>
      </c>
    </row>
    <row r="37" spans="1:5" hidden="1" outlineLevel="1">
      <c r="A37" s="2" t="s">
        <v>130</v>
      </c>
      <c r="B37" s="1" t="s">
        <v>152</v>
      </c>
    </row>
    <row r="38" spans="1:5" hidden="1" outlineLevel="1">
      <c r="B38" s="1"/>
    </row>
    <row r="39" spans="1:5" hidden="1" outlineLevel="1">
      <c r="B39" s="81" t="s">
        <v>127</v>
      </c>
      <c r="C39" s="69" t="s">
        <v>285</v>
      </c>
    </row>
    <row r="40" spans="1:5" hidden="1" outlineLevel="1">
      <c r="B40" s="82" t="s">
        <v>139</v>
      </c>
      <c r="C40" s="86">
        <v>100</v>
      </c>
    </row>
    <row r="41" spans="1:5" hidden="1" outlineLevel="1">
      <c r="B41" s="82" t="s">
        <v>142</v>
      </c>
      <c r="C41" s="86">
        <v>95</v>
      </c>
      <c r="E41" s="27"/>
    </row>
    <row r="42" spans="1:5" hidden="1" outlineLevel="1">
      <c r="B42" s="82" t="s">
        <v>154</v>
      </c>
      <c r="C42" s="86">
        <v>112</v>
      </c>
      <c r="E42" s="27"/>
    </row>
    <row r="43" spans="1:5" hidden="1" outlineLevel="1">
      <c r="B43" s="82" t="s">
        <v>156</v>
      </c>
      <c r="C43" s="86">
        <v>114</v>
      </c>
    </row>
    <row r="44" spans="1:5" hidden="1" outlineLevel="1">
      <c r="B44" s="83" t="s">
        <v>158</v>
      </c>
      <c r="C44" s="87">
        <v>92</v>
      </c>
    </row>
    <row r="45" spans="1:5" hidden="1" outlineLevel="1">
      <c r="B45" s="84" t="s">
        <v>150</v>
      </c>
      <c r="C45" s="88">
        <f>SUM(C40:C44)</f>
        <v>513</v>
      </c>
    </row>
    <row r="46" spans="1:5" hidden="1" outlineLevel="1">
      <c r="B46" s="8"/>
    </row>
    <row r="47" spans="1:5" hidden="1" outlineLevel="1">
      <c r="A47" s="2" t="s">
        <v>128</v>
      </c>
      <c r="B47" s="2" t="s">
        <v>147</v>
      </c>
    </row>
    <row r="48" spans="1:5" ht="33.75" hidden="1" customHeight="1" outlineLevel="1">
      <c r="B48" s="415" t="s">
        <v>289</v>
      </c>
      <c r="C48" s="415"/>
      <c r="D48" s="415"/>
    </row>
    <row r="49" spans="1:4" hidden="1" outlineLevel="1">
      <c r="A49" s="2" t="s">
        <v>145</v>
      </c>
      <c r="B49" s="427" t="s">
        <v>161</v>
      </c>
      <c r="C49" s="427"/>
      <c r="D49" s="427"/>
    </row>
    <row r="50" spans="1:4" hidden="1" outlineLevel="1">
      <c r="B50" s="1" t="s">
        <v>282</v>
      </c>
      <c r="C50" s="1"/>
      <c r="D50" s="1"/>
    </row>
    <row r="51" spans="1:4" hidden="1" outlineLevel="1">
      <c r="B51" s="1" t="s">
        <v>287</v>
      </c>
      <c r="C51" s="1"/>
      <c r="D51" s="1"/>
    </row>
    <row r="52" spans="1:4" hidden="1" outlineLevel="1"/>
    <row r="53" spans="1:4" ht="18" hidden="1" outlineLevel="1">
      <c r="A53" s="34" t="s">
        <v>133</v>
      </c>
      <c r="B53" s="1"/>
      <c r="C53" s="27"/>
    </row>
    <row r="54" spans="1:4" hidden="1" outlineLevel="1">
      <c r="A54" s="2" t="s">
        <v>130</v>
      </c>
      <c r="B54" s="1" t="s">
        <v>216</v>
      </c>
    </row>
    <row r="55" spans="1:4" hidden="1" outlineLevel="1">
      <c r="B55" s="1"/>
    </row>
    <row r="56" spans="1:4" hidden="1" outlineLevel="1">
      <c r="B56" s="81" t="s">
        <v>127</v>
      </c>
      <c r="C56" s="69" t="s">
        <v>291</v>
      </c>
    </row>
    <row r="57" spans="1:4" hidden="1" outlineLevel="1">
      <c r="B57" s="107" t="s">
        <v>138</v>
      </c>
      <c r="C57" s="91">
        <v>105</v>
      </c>
    </row>
    <row r="58" spans="1:4" hidden="1" outlineLevel="1">
      <c r="B58" s="82" t="s">
        <v>144</v>
      </c>
      <c r="C58" s="89">
        <v>96</v>
      </c>
    </row>
    <row r="59" spans="1:4" hidden="1" outlineLevel="1">
      <c r="B59" s="82" t="s">
        <v>143</v>
      </c>
      <c r="C59" s="89">
        <v>108</v>
      </c>
    </row>
    <row r="60" spans="1:4" hidden="1" outlineLevel="1">
      <c r="B60" s="82" t="s">
        <v>155</v>
      </c>
      <c r="C60" s="89">
        <v>98</v>
      </c>
    </row>
    <row r="61" spans="1:4" hidden="1" outlineLevel="1">
      <c r="B61" s="82" t="s">
        <v>158</v>
      </c>
      <c r="C61" s="89">
        <v>97</v>
      </c>
    </row>
    <row r="62" spans="1:4" hidden="1" outlineLevel="1">
      <c r="B62" s="82" t="s">
        <v>159</v>
      </c>
      <c r="C62" s="89">
        <v>102</v>
      </c>
    </row>
    <row r="63" spans="1:4" hidden="1" outlineLevel="1">
      <c r="B63" s="83" t="s">
        <v>288</v>
      </c>
      <c r="C63" s="90">
        <v>100</v>
      </c>
    </row>
    <row r="64" spans="1:4" hidden="1" outlineLevel="1">
      <c r="B64" s="92" t="s">
        <v>150</v>
      </c>
      <c r="C64" s="85">
        <f>SUM(C57:C63)</f>
        <v>706</v>
      </c>
    </row>
    <row r="65" spans="1:4" hidden="1" outlineLevel="1"/>
    <row r="66" spans="1:4" hidden="1" outlineLevel="1">
      <c r="A66" s="2" t="s">
        <v>128</v>
      </c>
      <c r="B66" s="2" t="s">
        <v>160</v>
      </c>
    </row>
    <row r="67" spans="1:4" ht="36" hidden="1" customHeight="1" outlineLevel="1">
      <c r="B67" s="415" t="s">
        <v>290</v>
      </c>
      <c r="C67" s="415"/>
      <c r="D67" s="415"/>
    </row>
    <row r="68" spans="1:4" hidden="1" outlineLevel="1">
      <c r="A68" s="2" t="s">
        <v>145</v>
      </c>
      <c r="B68" s="427" t="s">
        <v>161</v>
      </c>
      <c r="C68" s="427"/>
      <c r="D68" s="427"/>
    </row>
    <row r="69" spans="1:4" hidden="1" outlineLevel="1">
      <c r="B69" s="1" t="s">
        <v>284</v>
      </c>
      <c r="C69" s="1"/>
      <c r="D69" s="1"/>
    </row>
    <row r="70" spans="1:4" hidden="1" outlineLevel="1">
      <c r="B70" s="1" t="s">
        <v>292</v>
      </c>
      <c r="C70" s="1"/>
      <c r="D70" s="1"/>
    </row>
    <row r="71" spans="1:4" hidden="1" outlineLevel="1"/>
    <row r="72" spans="1:4" collapsed="1"/>
  </sheetData>
  <mergeCells count="8">
    <mergeCell ref="B67:D67"/>
    <mergeCell ref="B68:D68"/>
    <mergeCell ref="B14:D14"/>
    <mergeCell ref="B15:D15"/>
    <mergeCell ref="B30:D30"/>
    <mergeCell ref="B31:D31"/>
    <mergeCell ref="B48:D48"/>
    <mergeCell ref="B49:D4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fitToHeight="2" orientation="landscape" horizontalDpi="300" verticalDpi="300" copies="5" r:id="rId1"/>
  <headerFooter>
    <oddHeader>&amp;R&amp;D</oddHeader>
    <oddFooter>&amp;C&amp;"Arial,標準"&amp;10&amp;APage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4"/>
  <sheetViews>
    <sheetView zoomScaleSheetLayoutView="100" zoomScalePageLayoutView="106" workbookViewId="0">
      <selection activeCell="H15" sqref="H15"/>
    </sheetView>
  </sheetViews>
  <sheetFormatPr defaultColWidth="9" defaultRowHeight="15" outlineLevelRow="1"/>
  <cols>
    <col min="1" max="1" width="5.875" style="1" customWidth="1"/>
    <col min="2" max="2" width="12" style="1" customWidth="1"/>
    <col min="3" max="3" width="13.5" style="1" customWidth="1"/>
    <col min="4" max="4" width="8.625" style="1" customWidth="1"/>
    <col min="5" max="5" width="13.5" style="1" customWidth="1"/>
    <col min="6" max="6" width="8.25" style="1" customWidth="1"/>
    <col min="7" max="7" width="9.5" style="1" customWidth="1"/>
    <col min="8" max="8" width="15.625" style="1" customWidth="1"/>
    <col min="9" max="9" width="13.5" style="1" customWidth="1"/>
    <col min="10" max="10" width="11.25" style="1" customWidth="1"/>
    <col min="11" max="11" width="18.5" style="1" customWidth="1"/>
    <col min="12" max="12" width="8" style="1" customWidth="1"/>
    <col min="13" max="13" width="2.875" style="1" customWidth="1"/>
    <col min="14" max="14" width="16.875" style="1" customWidth="1"/>
    <col min="15" max="15" width="2.5" style="1" customWidth="1"/>
    <col min="16" max="16384" width="9" style="1"/>
  </cols>
  <sheetData>
    <row r="1" spans="1:12" ht="19.5">
      <c r="A1" s="235" t="s">
        <v>441</v>
      </c>
    </row>
    <row r="2" spans="1:12" ht="20.25">
      <c r="A2" s="71"/>
    </row>
    <row r="3" spans="1:12" ht="20.25" customHeight="1">
      <c r="A3" s="2" t="s">
        <v>562</v>
      </c>
    </row>
    <row r="4" spans="1:12" ht="20.25" customHeight="1">
      <c r="A4" s="2" t="s">
        <v>556</v>
      </c>
    </row>
    <row r="5" spans="1:12" ht="25.5" customHeight="1">
      <c r="A5" s="2"/>
      <c r="B5" s="1" t="s">
        <v>352</v>
      </c>
      <c r="C5" s="1" t="s">
        <v>552</v>
      </c>
      <c r="F5" s="7" t="s">
        <v>553</v>
      </c>
      <c r="G5" s="7"/>
      <c r="H5" s="7"/>
      <c r="I5" s="7"/>
      <c r="L5" s="5"/>
    </row>
    <row r="6" spans="1:12" ht="25.5" customHeight="1" thickBot="1">
      <c r="A6" s="2"/>
      <c r="B6" s="1" t="s">
        <v>554</v>
      </c>
      <c r="L6" s="5"/>
    </row>
    <row r="7" spans="1:12" ht="25.5" customHeight="1" thickBot="1">
      <c r="A7" s="2"/>
      <c r="B7" s="418" t="s">
        <v>555</v>
      </c>
      <c r="C7" s="419"/>
      <c r="D7" s="419"/>
      <c r="E7" s="420"/>
      <c r="L7" s="5"/>
    </row>
    <row r="8" spans="1:12" ht="25.5" customHeight="1">
      <c r="A8" s="2"/>
      <c r="L8" s="5"/>
    </row>
    <row r="9" spans="1:12" ht="25.5" customHeight="1">
      <c r="A9" s="2" t="s">
        <v>557</v>
      </c>
      <c r="L9" s="5"/>
    </row>
    <row r="10" spans="1:12" ht="39.75" customHeight="1">
      <c r="B10" s="421" t="s">
        <v>563</v>
      </c>
      <c r="C10" s="421"/>
      <c r="D10" s="421"/>
      <c r="E10" s="421"/>
      <c r="F10" s="421"/>
      <c r="G10" s="421"/>
      <c r="H10" s="6"/>
      <c r="I10" s="6"/>
    </row>
    <row r="11" spans="1:12" ht="15.75">
      <c r="B11" s="7"/>
      <c r="C11" s="7" t="s">
        <v>558</v>
      </c>
      <c r="D11" s="97"/>
      <c r="E11" s="122" t="s">
        <v>559</v>
      </c>
      <c r="F11" s="122"/>
      <c r="G11" s="97"/>
    </row>
    <row r="12" spans="1:12" ht="20.25">
      <c r="B12" s="2"/>
      <c r="C12" s="262" t="s">
        <v>560</v>
      </c>
      <c r="D12" s="261" t="s">
        <v>561</v>
      </c>
      <c r="E12" s="262" t="s">
        <v>560</v>
      </c>
      <c r="F12" s="5"/>
      <c r="G12" s="74"/>
      <c r="I12" s="75"/>
    </row>
    <row r="13" spans="1:12"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spans="1:12" ht="15.75">
      <c r="B14" s="2"/>
      <c r="E14" s="5"/>
      <c r="F14" s="5"/>
      <c r="G14" s="74"/>
      <c r="I14" s="75"/>
    </row>
    <row r="15" spans="1:12" ht="16.5" customHeight="1">
      <c r="E15" s="5"/>
      <c r="F15" s="5"/>
      <c r="G15" s="74"/>
      <c r="I15" s="75"/>
    </row>
    <row r="16" spans="1:12" ht="16.5" customHeight="1">
      <c r="E16" s="5"/>
      <c r="F16" s="5"/>
      <c r="G16" s="74"/>
      <c r="I16" s="75"/>
    </row>
    <row r="17" spans="1:13" ht="16.5" customHeight="1">
      <c r="E17" s="5"/>
      <c r="F17" s="5"/>
      <c r="G17" s="74"/>
      <c r="I17" s="75"/>
    </row>
    <row r="18" spans="1:13" ht="21.75" customHeight="1">
      <c r="E18" s="5"/>
      <c r="F18" s="5"/>
      <c r="G18" s="74"/>
      <c r="I18" s="75"/>
    </row>
    <row r="19" spans="1:13" ht="21.75" customHeight="1">
      <c r="E19" s="5"/>
      <c r="F19" s="5"/>
      <c r="G19" s="74"/>
      <c r="I19" s="75"/>
    </row>
    <row r="20" spans="1:13" ht="20.25" hidden="1" customHeight="1" outlineLevel="1">
      <c r="A20" s="415" t="s">
        <v>442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15"/>
      <c r="L20" s="11"/>
      <c r="M20" s="11"/>
    </row>
    <row r="21" spans="1:13" ht="20.25" hidden="1" customHeight="1" outlineLevel="1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1"/>
      <c r="M21" s="11"/>
    </row>
    <row r="22" spans="1:13" ht="30.75" hidden="1" customHeight="1" outlineLevel="1">
      <c r="A22" s="120"/>
      <c r="B22" s="423" t="s">
        <v>440</v>
      </c>
      <c r="C22" s="423"/>
      <c r="D22" s="423"/>
      <c r="E22" s="423"/>
      <c r="F22" s="423"/>
      <c r="G22" s="423"/>
      <c r="H22" s="423"/>
      <c r="I22" s="423"/>
      <c r="J22" s="43"/>
      <c r="K22" s="43"/>
    </row>
    <row r="23" spans="1:13" ht="67.5" hidden="1" customHeight="1" outlineLevel="1">
      <c r="B23" s="417" t="s">
        <v>385</v>
      </c>
      <c r="C23" s="417"/>
      <c r="D23" s="417"/>
      <c r="E23" s="226" t="s">
        <v>170</v>
      </c>
      <c r="F23" s="417" t="s">
        <v>435</v>
      </c>
      <c r="G23" s="417"/>
      <c r="H23" s="417" t="s">
        <v>437</v>
      </c>
      <c r="I23" s="417"/>
    </row>
    <row r="24" spans="1:13" ht="27.75" hidden="1" customHeight="1" outlineLevel="1">
      <c r="B24" s="416" t="s">
        <v>386</v>
      </c>
      <c r="C24" s="416"/>
      <c r="D24" s="416"/>
      <c r="E24" s="218">
        <v>3</v>
      </c>
      <c r="F24" s="424">
        <v>500</v>
      </c>
      <c r="G24" s="424"/>
      <c r="H24" s="425">
        <v>75</v>
      </c>
      <c r="I24" s="425"/>
      <c r="J24" s="233"/>
      <c r="K24" s="233"/>
      <c r="L24" s="217"/>
    </row>
    <row r="25" spans="1:13" ht="26.25" hidden="1" customHeight="1" outlineLevel="1">
      <c r="B25" s="416" t="s">
        <v>387</v>
      </c>
      <c r="C25" s="416"/>
      <c r="D25" s="416"/>
      <c r="E25" s="218">
        <v>4</v>
      </c>
      <c r="F25" s="424">
        <v>670</v>
      </c>
      <c r="G25" s="424"/>
      <c r="H25" s="422">
        <f>F25/H27</f>
        <v>100.44977511244377</v>
      </c>
      <c r="I25" s="422"/>
      <c r="J25" s="233"/>
      <c r="K25" s="233"/>
      <c r="L25" s="217"/>
    </row>
    <row r="26" spans="1:13" ht="29.25" hidden="1" customHeight="1" outlineLevel="1">
      <c r="B26" s="416" t="s">
        <v>388</v>
      </c>
      <c r="C26" s="416"/>
      <c r="D26" s="416"/>
      <c r="E26" s="218">
        <v>5</v>
      </c>
      <c r="F26" s="424">
        <v>830</v>
      </c>
      <c r="G26" s="424"/>
      <c r="H26" s="422">
        <f>F26/H27</f>
        <v>124.43778110944528</v>
      </c>
      <c r="I26" s="422"/>
      <c r="J26" s="233"/>
      <c r="K26" s="233"/>
      <c r="L26" s="217"/>
    </row>
    <row r="27" spans="1:13" ht="21.75" hidden="1" customHeight="1" outlineLevel="1">
      <c r="B27" s="2"/>
      <c r="G27" s="32" t="s">
        <v>281</v>
      </c>
      <c r="H27" s="237">
        <f>ROUND(F24/H24,2)</f>
        <v>6.67</v>
      </c>
      <c r="I27" s="236"/>
    </row>
    <row r="28" spans="1:13" ht="15.75" hidden="1" outlineLevel="1">
      <c r="B28" s="2"/>
      <c r="G28" s="32"/>
      <c r="H28" s="234"/>
      <c r="I28" s="234"/>
    </row>
    <row r="29" spans="1:13" ht="15.75" hidden="1" outlineLevel="1">
      <c r="B29" s="2" t="s">
        <v>198</v>
      </c>
      <c r="E29" s="5"/>
      <c r="F29" s="5"/>
      <c r="G29" s="74"/>
      <c r="I29" s="75"/>
    </row>
    <row r="30" spans="1:13" ht="26.25" hidden="1" customHeight="1" outlineLevel="1">
      <c r="B30" s="421" t="s">
        <v>513</v>
      </c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</row>
    <row r="31" spans="1:13" ht="15.75" hidden="1" outlineLevel="1">
      <c r="B31" s="2" t="s">
        <v>199</v>
      </c>
      <c r="E31" s="5"/>
      <c r="F31" s="5"/>
      <c r="G31" s="74"/>
      <c r="I31" s="75"/>
    </row>
    <row r="32" spans="1:13" ht="16.5" hidden="1" customHeight="1" outlineLevel="1">
      <c r="B32" s="1" t="s">
        <v>514</v>
      </c>
      <c r="E32" s="5"/>
      <c r="F32" s="5"/>
      <c r="G32" s="74"/>
      <c r="I32" s="75"/>
    </row>
    <row r="33" spans="1:6" hidden="1" outlineLevel="1">
      <c r="E33" s="33"/>
      <c r="F33" s="33"/>
    </row>
    <row r="34" spans="1:6" ht="18" collapsed="1">
      <c r="A34" s="36"/>
    </row>
  </sheetData>
  <mergeCells count="17">
    <mergeCell ref="B30:M30"/>
    <mergeCell ref="H26:I26"/>
    <mergeCell ref="A20:K20"/>
    <mergeCell ref="B22:I22"/>
    <mergeCell ref="F23:G23"/>
    <mergeCell ref="F24:G24"/>
    <mergeCell ref="F26:G26"/>
    <mergeCell ref="B26:D26"/>
    <mergeCell ref="H24:I24"/>
    <mergeCell ref="H25:I25"/>
    <mergeCell ref="F25:G25"/>
    <mergeCell ref="B23:D23"/>
    <mergeCell ref="B24:D24"/>
    <mergeCell ref="B25:D25"/>
    <mergeCell ref="H23:I23"/>
    <mergeCell ref="B7:E7"/>
    <mergeCell ref="B10:G10"/>
  </mergeCells>
  <phoneticPr fontId="2" type="noConversion"/>
  <pageMargins left="0.51181102362204722" right="0.51181102362204722" top="0.59055118110236227" bottom="0.31496062992125984" header="0.31496062992125984" footer="0.31496062992125984"/>
  <pageSetup paperSize="9" scale="76" orientation="portrait" horizontalDpi="300" verticalDpi="300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44"/>
  <sheetViews>
    <sheetView workbookViewId="0">
      <selection activeCell="F20" sqref="F20"/>
    </sheetView>
  </sheetViews>
  <sheetFormatPr defaultColWidth="9" defaultRowHeight="15.75"/>
  <cols>
    <col min="1" max="1" width="7.5" style="2" customWidth="1"/>
    <col min="2" max="2" width="18.5" style="2" customWidth="1"/>
    <col min="3" max="3" width="56.5" style="2" customWidth="1"/>
    <col min="4" max="4" width="3.25" style="2" customWidth="1"/>
    <col min="5" max="5" width="7.5" style="2" customWidth="1"/>
    <col min="6" max="11" width="9" style="2"/>
    <col min="12" max="12" width="22.5" style="2" customWidth="1"/>
    <col min="13" max="16384" width="9" style="2"/>
  </cols>
  <sheetData>
    <row r="1" spans="1:12" ht="20.25">
      <c r="A1" s="45" t="s">
        <v>204</v>
      </c>
      <c r="F1" s="36"/>
    </row>
    <row r="2" spans="1:12" ht="18">
      <c r="A2" s="36"/>
    </row>
    <row r="3" spans="1:12" ht="18">
      <c r="A3" s="34" t="s">
        <v>126</v>
      </c>
      <c r="B3" s="35"/>
    </row>
    <row r="4" spans="1:12" ht="42" customHeight="1">
      <c r="A4" s="2" t="s">
        <v>130</v>
      </c>
      <c r="B4" s="427" t="s">
        <v>293</v>
      </c>
      <c r="C4" s="427"/>
      <c r="D4" s="1"/>
    </row>
    <row r="5" spans="1:12">
      <c r="B5" s="1"/>
      <c r="C5" s="1"/>
      <c r="D5" s="1"/>
    </row>
    <row r="6" spans="1:12">
      <c r="B6" s="69" t="s">
        <v>127</v>
      </c>
      <c r="C6" s="69" t="s">
        <v>217</v>
      </c>
      <c r="E6" s="2" t="s">
        <v>343</v>
      </c>
    </row>
    <row r="7" spans="1:12">
      <c r="B7" s="3" t="s">
        <v>205</v>
      </c>
      <c r="C7" s="93">
        <v>154</v>
      </c>
      <c r="D7" s="7"/>
      <c r="E7" s="76" t="s">
        <v>213</v>
      </c>
      <c r="F7" s="77" t="s">
        <v>202</v>
      </c>
      <c r="G7" s="78"/>
      <c r="H7" s="78"/>
      <c r="I7" s="78"/>
      <c r="J7" s="78"/>
      <c r="K7" s="78"/>
      <c r="L7" s="79"/>
    </row>
    <row r="8" spans="1:12" ht="32.25" customHeight="1">
      <c r="B8" s="1" t="s">
        <v>206</v>
      </c>
      <c r="E8" s="80" t="s">
        <v>214</v>
      </c>
      <c r="F8" s="423" t="s">
        <v>340</v>
      </c>
      <c r="G8" s="423"/>
      <c r="H8" s="423"/>
      <c r="I8" s="423"/>
      <c r="J8" s="423"/>
      <c r="K8" s="423"/>
      <c r="L8" s="426"/>
    </row>
    <row r="9" spans="1:12">
      <c r="L9" s="1"/>
    </row>
    <row r="10" spans="1:12">
      <c r="A10" s="2" t="s">
        <v>128</v>
      </c>
      <c r="B10" s="1" t="s">
        <v>294</v>
      </c>
      <c r="F10" s="1" t="e">
        <f>'Conversion Rules (Appx II)'!#REF!</f>
        <v>#REF!</v>
      </c>
      <c r="G10" s="1" t="s">
        <v>208</v>
      </c>
      <c r="H10" s="1"/>
      <c r="I10" s="1"/>
      <c r="J10" s="1"/>
      <c r="K10" s="1"/>
      <c r="L10" s="1"/>
    </row>
    <row r="11" spans="1:12">
      <c r="B11" s="1" t="s">
        <v>299</v>
      </c>
      <c r="F11" s="9">
        <f>C7</f>
        <v>154</v>
      </c>
      <c r="G11" s="1" t="s">
        <v>209</v>
      </c>
      <c r="H11" s="1"/>
      <c r="I11" s="1"/>
      <c r="J11" s="1"/>
      <c r="K11" s="1"/>
      <c r="L11" s="1"/>
    </row>
    <row r="12" spans="1:12">
      <c r="B12" s="27" t="s">
        <v>300</v>
      </c>
      <c r="C12" s="27"/>
      <c r="F12" s="27" t="e">
        <f>F10-F11</f>
        <v>#REF!</v>
      </c>
      <c r="G12" s="1" t="s">
        <v>210</v>
      </c>
      <c r="H12" s="1"/>
      <c r="I12" s="1"/>
      <c r="J12" s="1"/>
      <c r="K12" s="1"/>
      <c r="L12" s="1"/>
    </row>
    <row r="13" spans="1:12">
      <c r="A13" s="8" t="s">
        <v>296</v>
      </c>
      <c r="B13" s="2" t="s">
        <v>129</v>
      </c>
      <c r="D13" s="27"/>
      <c r="F13" s="10">
        <v>100</v>
      </c>
      <c r="G13" s="1" t="s">
        <v>211</v>
      </c>
      <c r="H13" s="1"/>
      <c r="I13" s="1"/>
      <c r="J13" s="1"/>
      <c r="K13" s="1"/>
      <c r="L13" s="1"/>
    </row>
    <row r="14" spans="1:12">
      <c r="B14" s="2" t="s">
        <v>295</v>
      </c>
      <c r="F14" s="27" t="e">
        <f>F12/F13</f>
        <v>#REF!</v>
      </c>
      <c r="G14" s="1" t="s">
        <v>212</v>
      </c>
      <c r="H14" s="1"/>
      <c r="I14" s="1"/>
      <c r="J14" s="1"/>
      <c r="K14" s="1"/>
    </row>
    <row r="16" spans="1:12" ht="18">
      <c r="A16" s="34" t="s">
        <v>133</v>
      </c>
      <c r="B16" s="35"/>
    </row>
    <row r="17" spans="1:12" ht="47.25" customHeight="1">
      <c r="A17" s="2" t="s">
        <v>130</v>
      </c>
      <c r="B17" s="427" t="s">
        <v>218</v>
      </c>
      <c r="C17" s="427"/>
      <c r="E17" s="2" t="s">
        <v>131</v>
      </c>
      <c r="F17" s="1"/>
    </row>
    <row r="18" spans="1:12">
      <c r="B18" s="37"/>
      <c r="C18" s="37"/>
    </row>
    <row r="19" spans="1:12">
      <c r="B19" s="69" t="s">
        <v>127</v>
      </c>
      <c r="C19" s="69" t="s">
        <v>217</v>
      </c>
      <c r="D19" s="1"/>
      <c r="F19" s="1" t="e">
        <f>'Conversion Rules (Appx II)'!#REF!</f>
        <v>#REF!</v>
      </c>
      <c r="G19" s="1" t="s">
        <v>208</v>
      </c>
      <c r="H19" s="1"/>
      <c r="I19" s="1"/>
      <c r="J19" s="1"/>
      <c r="K19" s="1"/>
      <c r="L19" s="1"/>
    </row>
    <row r="20" spans="1:12">
      <c r="B20" s="3" t="s">
        <v>205</v>
      </c>
      <c r="C20" s="93">
        <v>158</v>
      </c>
      <c r="D20" s="1"/>
      <c r="F20" s="9">
        <f>C20+C21</f>
        <v>218</v>
      </c>
      <c r="G20" s="1" t="s">
        <v>209</v>
      </c>
      <c r="H20" s="1"/>
      <c r="I20" s="1"/>
      <c r="J20" s="1"/>
      <c r="K20" s="1"/>
      <c r="L20" s="1"/>
    </row>
    <row r="21" spans="1:12">
      <c r="B21" s="3" t="s">
        <v>347</v>
      </c>
      <c r="C21" s="93">
        <v>60</v>
      </c>
      <c r="F21" s="38" t="e">
        <f>F19-F20</f>
        <v>#REF!</v>
      </c>
      <c r="G21" s="1" t="s">
        <v>210</v>
      </c>
      <c r="H21" s="1"/>
      <c r="I21" s="1"/>
      <c r="J21" s="1"/>
      <c r="K21" s="1"/>
      <c r="L21" s="1"/>
    </row>
    <row r="22" spans="1:12">
      <c r="B22" s="69" t="s">
        <v>219</v>
      </c>
      <c r="C22" s="94">
        <f>C20+C21</f>
        <v>218</v>
      </c>
      <c r="F22" s="10">
        <v>100</v>
      </c>
      <c r="G22" s="1" t="s">
        <v>211</v>
      </c>
      <c r="H22" s="1"/>
      <c r="I22" s="1"/>
      <c r="J22" s="1"/>
      <c r="K22" s="1"/>
      <c r="L22" s="1"/>
    </row>
    <row r="23" spans="1:12">
      <c r="B23" s="1" t="s">
        <v>223</v>
      </c>
      <c r="F23" s="27" t="e">
        <f>F21/F22</f>
        <v>#REF!</v>
      </c>
      <c r="G23" s="1" t="s">
        <v>212</v>
      </c>
      <c r="H23" s="1"/>
      <c r="I23" s="1"/>
      <c r="J23" s="1"/>
      <c r="K23" s="1"/>
      <c r="L23" s="1"/>
    </row>
    <row r="24" spans="1:12">
      <c r="B24" s="1"/>
      <c r="F24" s="27"/>
      <c r="G24" s="1"/>
      <c r="H24" s="1"/>
      <c r="I24" s="1"/>
      <c r="J24" s="1"/>
      <c r="K24" s="1"/>
      <c r="L24" s="1"/>
    </row>
    <row r="25" spans="1:12">
      <c r="A25" s="2" t="s">
        <v>128</v>
      </c>
      <c r="B25" s="1" t="s">
        <v>297</v>
      </c>
      <c r="F25" s="1"/>
      <c r="G25" s="1"/>
      <c r="H25" s="1"/>
      <c r="I25" s="1"/>
      <c r="J25" s="1"/>
      <c r="K25" s="1"/>
      <c r="L25" s="1"/>
    </row>
    <row r="26" spans="1:12">
      <c r="B26" s="1" t="s">
        <v>298</v>
      </c>
      <c r="G26" s="1"/>
      <c r="H26" s="1"/>
      <c r="I26" s="1"/>
      <c r="J26" s="1"/>
      <c r="K26" s="1"/>
      <c r="L26" s="1"/>
    </row>
    <row r="27" spans="1:12">
      <c r="B27" s="27" t="s">
        <v>307</v>
      </c>
      <c r="G27" s="1"/>
      <c r="H27" s="1"/>
      <c r="I27" s="1"/>
      <c r="J27" s="1"/>
      <c r="K27" s="1"/>
      <c r="L27" s="1"/>
    </row>
    <row r="28" spans="1:12">
      <c r="A28" s="8" t="s">
        <v>341</v>
      </c>
      <c r="B28" s="2" t="s">
        <v>132</v>
      </c>
      <c r="G28" s="1"/>
      <c r="H28" s="1"/>
      <c r="I28" s="1"/>
      <c r="J28" s="1"/>
      <c r="K28" s="1"/>
      <c r="L28" s="1"/>
    </row>
    <row r="29" spans="1:12">
      <c r="B29" s="2" t="s">
        <v>301</v>
      </c>
      <c r="G29" s="1"/>
      <c r="H29" s="1"/>
      <c r="I29" s="1"/>
      <c r="J29" s="1"/>
      <c r="K29" s="1"/>
      <c r="L29" s="1"/>
    </row>
    <row r="30" spans="1:12">
      <c r="G30" s="1"/>
      <c r="H30" s="1"/>
      <c r="I30" s="1"/>
      <c r="J30" s="1"/>
      <c r="K30" s="1"/>
      <c r="L30" s="1"/>
    </row>
    <row r="31" spans="1:12" ht="18">
      <c r="A31" s="34" t="s">
        <v>134</v>
      </c>
      <c r="B31" s="35"/>
    </row>
    <row r="32" spans="1:12" ht="36" customHeight="1">
      <c r="A32" s="2" t="s">
        <v>130</v>
      </c>
      <c r="B32" s="427" t="s">
        <v>302</v>
      </c>
      <c r="C32" s="427"/>
      <c r="E32" s="2" t="s">
        <v>131</v>
      </c>
    </row>
    <row r="33" spans="1:10">
      <c r="B33" s="69" t="s">
        <v>127</v>
      </c>
      <c r="C33" s="69" t="s">
        <v>217</v>
      </c>
      <c r="D33" s="1"/>
      <c r="F33" s="1"/>
    </row>
    <row r="34" spans="1:10">
      <c r="B34" s="3" t="s">
        <v>205</v>
      </c>
      <c r="C34" s="93">
        <v>132</v>
      </c>
      <c r="D34" s="1"/>
    </row>
    <row r="35" spans="1:10">
      <c r="B35" s="3" t="s">
        <v>220</v>
      </c>
      <c r="C35" s="93">
        <v>146</v>
      </c>
      <c r="D35" s="1"/>
      <c r="F35" s="1" t="e">
        <f>'Conversion Rules (Appx II)'!#REF!</f>
        <v>#REF!</v>
      </c>
      <c r="G35" s="1" t="s">
        <v>208</v>
      </c>
      <c r="H35" s="1"/>
      <c r="I35" s="1"/>
      <c r="J35" s="1"/>
    </row>
    <row r="36" spans="1:10">
      <c r="B36" s="3" t="s">
        <v>221</v>
      </c>
      <c r="C36" s="93">
        <v>35</v>
      </c>
      <c r="F36" s="9">
        <f>C37</f>
        <v>313</v>
      </c>
      <c r="G36" s="1" t="s">
        <v>209</v>
      </c>
      <c r="H36" s="1"/>
      <c r="I36" s="1"/>
      <c r="J36" s="1"/>
    </row>
    <row r="37" spans="1:10">
      <c r="B37" s="69" t="s">
        <v>219</v>
      </c>
      <c r="C37" s="94">
        <f>SUM(C34:C36)</f>
        <v>313</v>
      </c>
      <c r="F37" s="27" t="e">
        <f>F35-F36</f>
        <v>#REF!</v>
      </c>
      <c r="G37" s="1" t="s">
        <v>210</v>
      </c>
      <c r="H37" s="1"/>
      <c r="I37" s="1"/>
      <c r="J37" s="1"/>
    </row>
    <row r="38" spans="1:10">
      <c r="B38" s="1" t="s">
        <v>222</v>
      </c>
      <c r="F38" s="10">
        <v>100</v>
      </c>
      <c r="G38" s="1" t="s">
        <v>211</v>
      </c>
      <c r="H38" s="1"/>
      <c r="I38" s="1"/>
      <c r="J38" s="1"/>
    </row>
    <row r="39" spans="1:10">
      <c r="F39" s="27" t="e">
        <f>F37/F38</f>
        <v>#REF!</v>
      </c>
      <c r="G39" s="1" t="s">
        <v>212</v>
      </c>
      <c r="H39" s="1"/>
      <c r="I39" s="1"/>
      <c r="J39" s="1"/>
    </row>
    <row r="40" spans="1:10">
      <c r="A40" s="2" t="s">
        <v>128</v>
      </c>
      <c r="B40" s="1" t="s">
        <v>304</v>
      </c>
      <c r="F40" s="1"/>
      <c r="G40" s="1"/>
      <c r="H40" s="1"/>
      <c r="I40" s="1"/>
      <c r="J40" s="1"/>
    </row>
    <row r="41" spans="1:10">
      <c r="B41" s="1" t="s">
        <v>305</v>
      </c>
    </row>
    <row r="42" spans="1:10">
      <c r="B42" s="27" t="s">
        <v>306</v>
      </c>
    </row>
    <row r="43" spans="1:10">
      <c r="A43" s="8" t="s">
        <v>341</v>
      </c>
      <c r="B43" s="2" t="s">
        <v>303</v>
      </c>
    </row>
    <row r="44" spans="1:10">
      <c r="B44" s="2" t="s">
        <v>308</v>
      </c>
    </row>
  </sheetData>
  <mergeCells count="4">
    <mergeCell ref="F8:L8"/>
    <mergeCell ref="B4:C4"/>
    <mergeCell ref="B17:C17"/>
    <mergeCell ref="B32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fitToHeight="6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41"/>
  <sheetViews>
    <sheetView workbookViewId="0">
      <selection activeCell="H31" sqref="H31"/>
    </sheetView>
  </sheetViews>
  <sheetFormatPr defaultColWidth="9" defaultRowHeight="15.75"/>
  <cols>
    <col min="1" max="1" width="8.875" style="2" customWidth="1"/>
    <col min="2" max="2" width="14.875" style="2" customWidth="1"/>
    <col min="3" max="3" width="51.25" style="2" customWidth="1"/>
    <col min="4" max="4" width="2.5" style="2" customWidth="1"/>
    <col min="5" max="11" width="9" style="2"/>
    <col min="12" max="12" width="23.25" style="2" customWidth="1"/>
    <col min="13" max="16384" width="9" style="2"/>
  </cols>
  <sheetData>
    <row r="1" spans="1:12" ht="20.25">
      <c r="A1" s="45" t="s">
        <v>238</v>
      </c>
    </row>
    <row r="2" spans="1:12" ht="20.25">
      <c r="A2" s="45"/>
    </row>
    <row r="3" spans="1:12" ht="37.5" customHeight="1">
      <c r="A3" s="2" t="s">
        <v>130</v>
      </c>
      <c r="B3" s="427" t="s">
        <v>224</v>
      </c>
      <c r="C3" s="427"/>
    </row>
    <row r="4" spans="1:12" ht="18">
      <c r="A4" s="34" t="s">
        <v>126</v>
      </c>
      <c r="B4" s="35"/>
      <c r="E4" s="2" t="s">
        <v>344</v>
      </c>
    </row>
    <row r="5" spans="1:12">
      <c r="B5" s="69" t="s">
        <v>127</v>
      </c>
      <c r="C5" s="69" t="s">
        <v>226</v>
      </c>
      <c r="E5" s="76" t="s">
        <v>213</v>
      </c>
      <c r="F5" s="77" t="s">
        <v>225</v>
      </c>
      <c r="G5" s="78"/>
      <c r="H5" s="78"/>
      <c r="I5" s="78"/>
      <c r="J5" s="78"/>
      <c r="K5" s="78"/>
      <c r="L5" s="79"/>
    </row>
    <row r="6" spans="1:12" ht="34.5" customHeight="1">
      <c r="B6" s="3" t="s">
        <v>205</v>
      </c>
      <c r="C6" s="93">
        <v>90</v>
      </c>
      <c r="E6" s="80" t="s">
        <v>214</v>
      </c>
      <c r="F6" s="423" t="s">
        <v>338</v>
      </c>
      <c r="G6" s="423"/>
      <c r="H6" s="423"/>
      <c r="I6" s="423"/>
      <c r="J6" s="423"/>
      <c r="K6" s="423"/>
      <c r="L6" s="426"/>
    </row>
    <row r="7" spans="1:12">
      <c r="B7" s="3" t="s">
        <v>220</v>
      </c>
      <c r="C7" s="93">
        <v>104</v>
      </c>
    </row>
    <row r="8" spans="1:12">
      <c r="B8" s="3" t="s">
        <v>227</v>
      </c>
      <c r="C8" s="93">
        <v>35</v>
      </c>
      <c r="E8" s="1" t="e">
        <f>'Conversion Rules (Appx II)'!#REF!</f>
        <v>#REF!</v>
      </c>
      <c r="F8" s="1" t="s">
        <v>208</v>
      </c>
      <c r="G8" s="1"/>
      <c r="H8" s="1"/>
      <c r="I8" s="1"/>
      <c r="J8" s="1"/>
    </row>
    <row r="9" spans="1:12">
      <c r="B9" s="69" t="s">
        <v>233</v>
      </c>
      <c r="C9" s="94">
        <f>SUM(C6:C8)</f>
        <v>229</v>
      </c>
      <c r="E9" s="9">
        <f>C9</f>
        <v>229</v>
      </c>
      <c r="F9" s="1" t="s">
        <v>229</v>
      </c>
      <c r="G9" s="1"/>
      <c r="H9" s="1"/>
      <c r="I9" s="1"/>
      <c r="J9" s="1"/>
    </row>
    <row r="10" spans="1:12">
      <c r="B10" s="1" t="s">
        <v>228</v>
      </c>
      <c r="E10" s="27" t="e">
        <f>E8-E9</f>
        <v>#REF!</v>
      </c>
      <c r="F10" s="1" t="s">
        <v>230</v>
      </c>
      <c r="G10" s="1"/>
      <c r="H10" s="1"/>
      <c r="I10" s="1"/>
      <c r="J10" s="1"/>
    </row>
    <row r="11" spans="1:12">
      <c r="B11" s="1"/>
      <c r="E11" s="108" t="e">
        <f>'Conversion Rules (Appx II)'!#REF!</f>
        <v>#REF!</v>
      </c>
      <c r="F11" s="1" t="s">
        <v>231</v>
      </c>
      <c r="G11" s="1"/>
      <c r="H11" s="1"/>
      <c r="I11" s="1"/>
      <c r="J11" s="1"/>
    </row>
    <row r="12" spans="1:12">
      <c r="A12" s="2" t="s">
        <v>128</v>
      </c>
      <c r="B12" s="1" t="s">
        <v>309</v>
      </c>
      <c r="E12" s="95" t="e">
        <f>E10/E11</f>
        <v>#REF!</v>
      </c>
      <c r="F12" s="1" t="s">
        <v>232</v>
      </c>
      <c r="G12" s="1"/>
      <c r="H12" s="1"/>
      <c r="I12" s="1"/>
      <c r="J12" s="1"/>
    </row>
    <row r="13" spans="1:12">
      <c r="B13" s="1" t="s">
        <v>310</v>
      </c>
      <c r="E13" s="1"/>
      <c r="F13" s="1"/>
      <c r="G13" s="1"/>
      <c r="H13" s="1"/>
      <c r="I13" s="1"/>
      <c r="J13" s="1"/>
    </row>
    <row r="14" spans="1:12">
      <c r="B14" s="27" t="s">
        <v>311</v>
      </c>
      <c r="C14" s="27"/>
      <c r="E14" s="1"/>
      <c r="F14" s="1"/>
      <c r="G14" s="1"/>
      <c r="H14" s="1"/>
      <c r="I14" s="1"/>
      <c r="J14" s="1"/>
    </row>
    <row r="15" spans="1:12">
      <c r="A15" s="8" t="s">
        <v>341</v>
      </c>
      <c r="B15" s="2" t="s">
        <v>135</v>
      </c>
    </row>
    <row r="16" spans="1:12">
      <c r="B16" s="2" t="s">
        <v>312</v>
      </c>
    </row>
    <row r="18" spans="1:9" ht="18">
      <c r="A18" s="34" t="s">
        <v>133</v>
      </c>
      <c r="B18" s="35"/>
    </row>
    <row r="19" spans="1:9">
      <c r="B19" s="69" t="s">
        <v>127</v>
      </c>
      <c r="C19" s="69" t="s">
        <v>226</v>
      </c>
      <c r="E19" s="2" t="s">
        <v>131</v>
      </c>
    </row>
    <row r="20" spans="1:9">
      <c r="B20" s="3" t="s">
        <v>205</v>
      </c>
      <c r="C20" s="93">
        <v>100</v>
      </c>
      <c r="E20" s="1"/>
    </row>
    <row r="21" spans="1:9">
      <c r="B21" s="3" t="s">
        <v>220</v>
      </c>
      <c r="C21" s="93">
        <v>90</v>
      </c>
      <c r="E21" s="1"/>
      <c r="F21" s="1"/>
      <c r="G21" s="1"/>
      <c r="H21" s="1"/>
      <c r="I21" s="1"/>
    </row>
    <row r="22" spans="1:9">
      <c r="B22" s="3" t="s">
        <v>235</v>
      </c>
      <c r="C22" s="93">
        <v>98</v>
      </c>
      <c r="E22" s="1" t="e">
        <f>'Conversion Rules (Appx II)'!#REF!</f>
        <v>#REF!</v>
      </c>
      <c r="F22" s="1" t="s">
        <v>208</v>
      </c>
      <c r="G22" s="1"/>
      <c r="H22" s="1"/>
      <c r="I22" s="1"/>
    </row>
    <row r="23" spans="1:9">
      <c r="B23" s="3" t="s">
        <v>236</v>
      </c>
      <c r="C23" s="93">
        <v>25</v>
      </c>
      <c r="E23" s="9">
        <f>C24</f>
        <v>313</v>
      </c>
      <c r="F23" s="1" t="s">
        <v>229</v>
      </c>
      <c r="G23" s="1"/>
      <c r="H23" s="1"/>
      <c r="I23" s="1"/>
    </row>
    <row r="24" spans="1:9">
      <c r="B24" s="69" t="s">
        <v>233</v>
      </c>
      <c r="C24" s="94">
        <f>SUM(C20:C23)</f>
        <v>313</v>
      </c>
      <c r="E24" s="38" t="e">
        <f>E22-E23</f>
        <v>#REF!</v>
      </c>
      <c r="F24" s="1" t="s">
        <v>230</v>
      </c>
      <c r="G24" s="1"/>
      <c r="H24" s="1"/>
      <c r="I24" s="1"/>
    </row>
    <row r="25" spans="1:9">
      <c r="B25" s="1" t="s">
        <v>234</v>
      </c>
      <c r="E25" s="108" t="e">
        <f>'Conversion Rules (Appx II)'!#REF!</f>
        <v>#REF!</v>
      </c>
      <c r="F25" s="1" t="s">
        <v>231</v>
      </c>
      <c r="G25" s="1"/>
      <c r="H25" s="1"/>
      <c r="I25" s="1"/>
    </row>
    <row r="26" spans="1:9">
      <c r="E26" s="95" t="e">
        <f>E24/E25</f>
        <v>#REF!</v>
      </c>
      <c r="F26" s="1" t="s">
        <v>232</v>
      </c>
      <c r="G26" s="1"/>
      <c r="H26" s="1"/>
      <c r="I26" s="1"/>
    </row>
    <row r="27" spans="1:9">
      <c r="A27" s="2" t="s">
        <v>128</v>
      </c>
      <c r="B27" s="1" t="s">
        <v>313</v>
      </c>
      <c r="E27" s="1"/>
      <c r="F27" s="1"/>
      <c r="G27" s="1"/>
      <c r="H27" s="1"/>
      <c r="I27" s="1"/>
    </row>
    <row r="28" spans="1:9">
      <c r="B28" s="1" t="s">
        <v>314</v>
      </c>
      <c r="E28" s="1"/>
      <c r="F28" s="1"/>
      <c r="G28" s="1"/>
      <c r="H28" s="1"/>
      <c r="I28" s="1"/>
    </row>
    <row r="29" spans="1:9">
      <c r="B29" s="27" t="s">
        <v>316</v>
      </c>
      <c r="E29" s="1"/>
      <c r="F29" s="1"/>
      <c r="G29" s="1"/>
      <c r="H29" s="1"/>
      <c r="I29" s="1"/>
    </row>
    <row r="30" spans="1:9">
      <c r="A30" s="8" t="s">
        <v>341</v>
      </c>
      <c r="B30" s="2" t="s">
        <v>136</v>
      </c>
    </row>
    <row r="31" spans="1:9">
      <c r="B31" s="2" t="s">
        <v>315</v>
      </c>
    </row>
    <row r="33" spans="1:5" ht="18">
      <c r="A33" s="36"/>
    </row>
    <row r="35" spans="1:5">
      <c r="B35" s="1"/>
      <c r="C35" s="1"/>
      <c r="E35" s="1"/>
    </row>
    <row r="36" spans="1:5">
      <c r="B36" s="1"/>
      <c r="C36" s="1"/>
    </row>
    <row r="37" spans="1:5">
      <c r="B37" s="1"/>
      <c r="C37" s="1"/>
    </row>
    <row r="39" spans="1:5">
      <c r="B39" s="1"/>
      <c r="E39" s="27"/>
    </row>
    <row r="41" spans="1:5">
      <c r="B41" s="1"/>
    </row>
  </sheetData>
  <mergeCells count="2">
    <mergeCell ref="B3:C3"/>
    <mergeCell ref="F6:L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fitToHeight="4" orientation="landscape" horizontalDpi="300" verticalDpi="300" r:id="rId1"/>
  <headerFooter>
    <oddHeader>&amp;R&amp;D</oddHeader>
    <oddFooter>&amp;C&amp;"Arial,標準"&amp;10&amp;APage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R63"/>
  <sheetViews>
    <sheetView workbookViewId="0">
      <selection sqref="A1:M42"/>
    </sheetView>
  </sheetViews>
  <sheetFormatPr defaultColWidth="9" defaultRowHeight="15.75" outlineLevelRow="1"/>
  <cols>
    <col min="1" max="1" width="22.25" style="2" customWidth="1"/>
    <col min="2" max="2" width="13.25" style="2" customWidth="1"/>
    <col min="3" max="3" width="15.25" style="2" customWidth="1"/>
    <col min="4" max="4" width="15.5" style="2" customWidth="1"/>
    <col min="5" max="5" width="21.5" style="2" customWidth="1"/>
    <col min="6" max="6" width="4.5" style="2" customWidth="1"/>
    <col min="7" max="7" width="7.5" style="50" customWidth="1"/>
    <col min="8" max="8" width="9.5" style="2" bestFit="1" customWidth="1"/>
    <col min="9" max="12" width="9" style="2"/>
    <col min="13" max="13" width="28.625" style="2" customWidth="1"/>
    <col min="14" max="16384" width="9" style="2"/>
  </cols>
  <sheetData>
    <row r="1" spans="1:18" ht="30" customHeight="1">
      <c r="A1" s="71" t="s">
        <v>486</v>
      </c>
    </row>
    <row r="2" spans="1:18" ht="20.25">
      <c r="A2" s="45"/>
    </row>
    <row r="3" spans="1:18" ht="18">
      <c r="A3" s="34" t="s">
        <v>126</v>
      </c>
      <c r="B3" s="35"/>
      <c r="N3" s="1"/>
    </row>
    <row r="4" spans="1:18" ht="21" customHeight="1">
      <c r="A4" s="1" t="s">
        <v>494</v>
      </c>
      <c r="B4" s="43"/>
      <c r="D4" s="43"/>
      <c r="E4" s="43"/>
      <c r="N4" s="1"/>
    </row>
    <row r="5" spans="1:18">
      <c r="B5" s="43"/>
      <c r="C5" s="43"/>
      <c r="D5" s="43"/>
      <c r="E5" s="43"/>
      <c r="N5" s="1"/>
    </row>
    <row r="6" spans="1:18" ht="15.75" customHeight="1">
      <c r="G6" s="2" t="s">
        <v>438</v>
      </c>
      <c r="N6" s="1"/>
    </row>
    <row r="7" spans="1:18">
      <c r="A7" s="428" t="s">
        <v>443</v>
      </c>
      <c r="B7" s="428" t="s">
        <v>450</v>
      </c>
      <c r="C7" s="428" t="s">
        <v>451</v>
      </c>
      <c r="D7" s="428" t="s">
        <v>493</v>
      </c>
      <c r="E7" s="428" t="s">
        <v>467</v>
      </c>
      <c r="G7" s="2" t="s">
        <v>198</v>
      </c>
      <c r="H7" s="427" t="s">
        <v>454</v>
      </c>
      <c r="I7" s="427"/>
      <c r="J7" s="427"/>
      <c r="K7" s="427"/>
      <c r="L7" s="427"/>
      <c r="M7" s="427"/>
      <c r="N7" s="1"/>
    </row>
    <row r="8" spans="1:18">
      <c r="A8" s="429"/>
      <c r="B8" s="429"/>
      <c r="C8" s="429"/>
      <c r="D8" s="429"/>
      <c r="E8" s="429"/>
      <c r="F8" s="7"/>
      <c r="H8" s="427"/>
      <c r="I8" s="427"/>
      <c r="J8" s="427"/>
      <c r="K8" s="427"/>
      <c r="L8" s="427"/>
      <c r="M8" s="427"/>
    </row>
    <row r="9" spans="1:18">
      <c r="A9" s="218">
        <v>1</v>
      </c>
      <c r="B9" s="241" t="s">
        <v>392</v>
      </c>
      <c r="C9" s="93" t="s">
        <v>348</v>
      </c>
      <c r="D9" s="218">
        <v>189</v>
      </c>
      <c r="E9" s="218" t="s">
        <v>457</v>
      </c>
      <c r="F9" s="7"/>
      <c r="G9" s="5" t="s">
        <v>392</v>
      </c>
      <c r="H9" s="1">
        <f>ROUND(D9*0.83,0)</f>
        <v>157</v>
      </c>
      <c r="I9" s="254" t="s">
        <v>496</v>
      </c>
      <c r="J9" s="30"/>
      <c r="K9" s="1"/>
    </row>
    <row r="10" spans="1:18">
      <c r="A10" s="218">
        <v>2</v>
      </c>
      <c r="B10" s="241" t="s">
        <v>393</v>
      </c>
      <c r="C10" s="93" t="s">
        <v>349</v>
      </c>
      <c r="D10" s="218">
        <v>40</v>
      </c>
      <c r="E10" s="244" t="s">
        <v>458</v>
      </c>
      <c r="F10" s="14"/>
      <c r="G10" s="5" t="s">
        <v>393</v>
      </c>
      <c r="H10" s="1">
        <f>ROUND(D10*0.83,0)</f>
        <v>33</v>
      </c>
      <c r="I10" s="254" t="s">
        <v>506</v>
      </c>
      <c r="J10" s="30"/>
      <c r="K10" s="1"/>
    </row>
    <row r="11" spans="1:18">
      <c r="C11" s="8" t="s">
        <v>240</v>
      </c>
      <c r="D11" s="239">
        <f>SUM(D9:D10)</f>
        <v>229</v>
      </c>
      <c r="E11" s="14"/>
      <c r="F11" s="14"/>
      <c r="G11" s="48" t="s">
        <v>498</v>
      </c>
      <c r="H11" s="243">
        <f>H9+H10</f>
        <v>190</v>
      </c>
      <c r="I11" s="30" t="s">
        <v>500</v>
      </c>
      <c r="J11" s="30"/>
      <c r="K11" s="1"/>
    </row>
    <row r="12" spans="1:18">
      <c r="C12" s="8"/>
      <c r="D12" s="97"/>
      <c r="E12" s="14"/>
      <c r="H12" s="103"/>
      <c r="I12" s="242"/>
    </row>
    <row r="13" spans="1:18">
      <c r="A13" s="2" t="s">
        <v>545</v>
      </c>
      <c r="B13" s="2" t="s">
        <v>461</v>
      </c>
      <c r="G13" s="50" t="s">
        <v>200</v>
      </c>
      <c r="H13" s="1" t="s">
        <v>515</v>
      </c>
      <c r="J13" s="1"/>
      <c r="R13" s="1"/>
    </row>
    <row r="14" spans="1:18">
      <c r="A14" s="8" t="s">
        <v>423</v>
      </c>
      <c r="B14" s="2" t="s">
        <v>460</v>
      </c>
      <c r="F14" s="27"/>
      <c r="G14" s="48" t="s">
        <v>455</v>
      </c>
      <c r="H14" s="1">
        <v>500</v>
      </c>
      <c r="I14" s="30" t="s">
        <v>516</v>
      </c>
      <c r="J14" s="1"/>
    </row>
    <row r="15" spans="1:18">
      <c r="A15" s="8" t="s">
        <v>424</v>
      </c>
      <c r="B15" s="1" t="s">
        <v>520</v>
      </c>
      <c r="D15" s="27"/>
      <c r="E15" s="27"/>
      <c r="G15" s="255" t="s">
        <v>499</v>
      </c>
      <c r="H15" s="245">
        <f>H11</f>
        <v>190</v>
      </c>
      <c r="I15" s="30" t="s">
        <v>546</v>
      </c>
      <c r="J15" s="1"/>
    </row>
    <row r="16" spans="1:18">
      <c r="A16" s="8"/>
      <c r="B16" s="240" t="s">
        <v>448</v>
      </c>
      <c r="G16" s="48" t="s">
        <v>497</v>
      </c>
      <c r="H16" s="103">
        <f>H14-H15</f>
        <v>310</v>
      </c>
      <c r="I16" s="30" t="s">
        <v>517</v>
      </c>
      <c r="J16" s="1"/>
    </row>
    <row r="17" spans="1:14">
      <c r="B17" s="2" t="s">
        <v>521</v>
      </c>
      <c r="C17" s="1"/>
      <c r="H17" s="103"/>
      <c r="I17" s="1"/>
      <c r="J17" s="1"/>
    </row>
    <row r="18" spans="1:14">
      <c r="B18" s="430" t="s">
        <v>522</v>
      </c>
      <c r="C18" s="430"/>
      <c r="D18" s="430"/>
      <c r="E18" s="430"/>
      <c r="G18" s="48" t="s">
        <v>456</v>
      </c>
      <c r="H18" s="1">
        <v>130</v>
      </c>
      <c r="I18" s="30" t="s">
        <v>518</v>
      </c>
    </row>
    <row r="19" spans="1:14">
      <c r="B19" s="430"/>
      <c r="C19" s="430"/>
      <c r="D19" s="430"/>
      <c r="E19" s="430"/>
      <c r="G19" s="255" t="s">
        <v>501</v>
      </c>
      <c r="H19" s="1">
        <f>H10</f>
        <v>33</v>
      </c>
      <c r="I19" s="30" t="s">
        <v>459</v>
      </c>
    </row>
    <row r="20" spans="1:14">
      <c r="B20" s="430"/>
      <c r="C20" s="430"/>
      <c r="D20" s="430"/>
      <c r="E20" s="430"/>
      <c r="H20" s="111">
        <f>H18-H19</f>
        <v>97</v>
      </c>
      <c r="I20" s="30" t="s">
        <v>519</v>
      </c>
    </row>
    <row r="22" spans="1:14" ht="18">
      <c r="A22" s="34" t="s">
        <v>133</v>
      </c>
      <c r="B22" s="35"/>
    </row>
    <row r="23" spans="1:14" ht="21" customHeight="1">
      <c r="A23" s="1" t="s">
        <v>495</v>
      </c>
      <c r="B23" s="43"/>
      <c r="D23" s="43"/>
      <c r="E23" s="43"/>
      <c r="N23" s="1"/>
    </row>
    <row r="24" spans="1:14" ht="15.75" customHeight="1">
      <c r="B24" s="1"/>
      <c r="C24" s="1"/>
      <c r="D24" s="1"/>
      <c r="E24" s="1"/>
    </row>
    <row r="25" spans="1:14" ht="15.75" customHeight="1">
      <c r="H25" s="2" t="s">
        <v>131</v>
      </c>
    </row>
    <row r="26" spans="1:14">
      <c r="A26" s="428" t="s">
        <v>443</v>
      </c>
      <c r="B26" s="428" t="s">
        <v>450</v>
      </c>
      <c r="C26" s="428" t="s">
        <v>451</v>
      </c>
      <c r="D26" s="428" t="s">
        <v>493</v>
      </c>
      <c r="E26" s="428" t="s">
        <v>467</v>
      </c>
      <c r="G26" s="50" t="s">
        <v>198</v>
      </c>
      <c r="H26" s="427" t="s">
        <v>454</v>
      </c>
      <c r="I26" s="427"/>
      <c r="J26" s="427"/>
      <c r="K26" s="427"/>
      <c r="L26" s="427"/>
      <c r="M26" s="427"/>
    </row>
    <row r="27" spans="1:14" ht="15.75" customHeight="1">
      <c r="A27" s="429"/>
      <c r="B27" s="429"/>
      <c r="C27" s="429"/>
      <c r="D27" s="429"/>
      <c r="E27" s="429"/>
      <c r="F27" s="7"/>
      <c r="G27" s="2"/>
      <c r="H27" s="427"/>
      <c r="I27" s="427"/>
      <c r="J27" s="427"/>
      <c r="K27" s="427"/>
      <c r="L27" s="427"/>
      <c r="M27" s="427"/>
    </row>
    <row r="28" spans="1:14" ht="15.75" customHeight="1">
      <c r="A28" s="218">
        <v>1</v>
      </c>
      <c r="B28" s="238" t="s">
        <v>392</v>
      </c>
      <c r="C28" s="3" t="s">
        <v>348</v>
      </c>
      <c r="D28" s="218">
        <v>220</v>
      </c>
      <c r="E28" s="218" t="s">
        <v>457</v>
      </c>
      <c r="F28" s="7"/>
      <c r="G28" s="5" t="s">
        <v>392</v>
      </c>
      <c r="H28" s="1">
        <f>ROUND(D28*0.83,0)</f>
        <v>183</v>
      </c>
      <c r="I28" s="254" t="s">
        <v>502</v>
      </c>
      <c r="J28" s="1"/>
    </row>
    <row r="29" spans="1:14">
      <c r="A29" s="218">
        <v>2</v>
      </c>
      <c r="B29" s="238" t="s">
        <v>393</v>
      </c>
      <c r="C29" s="3" t="s">
        <v>348</v>
      </c>
      <c r="D29" s="218">
        <v>220</v>
      </c>
      <c r="E29" s="218" t="s">
        <v>457</v>
      </c>
      <c r="F29" s="7"/>
      <c r="G29" s="5" t="s">
        <v>393</v>
      </c>
      <c r="H29" s="1">
        <f>ROUND(D29*0.83,0)</f>
        <v>183</v>
      </c>
      <c r="I29" s="254" t="s">
        <v>502</v>
      </c>
      <c r="J29" s="1"/>
    </row>
    <row r="30" spans="1:14">
      <c r="A30" s="218"/>
      <c r="B30" s="238" t="s">
        <v>394</v>
      </c>
      <c r="C30" s="3" t="s">
        <v>452</v>
      </c>
      <c r="D30" s="218">
        <v>40</v>
      </c>
      <c r="E30" s="244" t="s">
        <v>458</v>
      </c>
      <c r="F30" s="14"/>
      <c r="G30" s="5" t="s">
        <v>394</v>
      </c>
      <c r="H30" s="1">
        <f>ROUND(D30*0.83,0)</f>
        <v>33</v>
      </c>
      <c r="I30" s="254" t="s">
        <v>505</v>
      </c>
      <c r="J30" s="1"/>
    </row>
    <row r="31" spans="1:14">
      <c r="C31" s="8" t="s">
        <v>240</v>
      </c>
      <c r="D31" s="239">
        <f>SUM(D28:D30)</f>
        <v>480</v>
      </c>
      <c r="E31" s="14"/>
      <c r="F31" s="1"/>
      <c r="H31" s="243">
        <f>H28+H29+H30</f>
        <v>399</v>
      </c>
      <c r="I31" s="30" t="s">
        <v>503</v>
      </c>
      <c r="J31" s="1"/>
    </row>
    <row r="32" spans="1:14">
      <c r="C32" s="1"/>
      <c r="D32" s="1"/>
      <c r="E32" s="1"/>
      <c r="F32" s="1"/>
      <c r="H32" s="1"/>
      <c r="I32" s="1"/>
    </row>
    <row r="33" spans="1:13">
      <c r="A33" s="2" t="s">
        <v>523</v>
      </c>
      <c r="B33" s="2" t="s">
        <v>465</v>
      </c>
      <c r="D33" s="1"/>
      <c r="E33" s="1"/>
      <c r="G33" s="50" t="s">
        <v>200</v>
      </c>
      <c r="H33" s="1" t="s">
        <v>515</v>
      </c>
      <c r="J33" s="1"/>
    </row>
    <row r="34" spans="1:13">
      <c r="A34" s="8" t="s">
        <v>423</v>
      </c>
      <c r="B34" s="2" t="s">
        <v>464</v>
      </c>
      <c r="G34" s="48" t="s">
        <v>455</v>
      </c>
      <c r="H34" s="1">
        <v>500</v>
      </c>
      <c r="I34" s="30" t="s">
        <v>512</v>
      </c>
      <c r="J34" s="1"/>
    </row>
    <row r="35" spans="1:13" ht="33.75" customHeight="1">
      <c r="A35" s="8" t="s">
        <v>424</v>
      </c>
      <c r="B35" s="427" t="s">
        <v>526</v>
      </c>
      <c r="C35" s="427"/>
      <c r="D35" s="427"/>
      <c r="E35" s="427"/>
      <c r="G35" s="255" t="s">
        <v>504</v>
      </c>
      <c r="H35" s="109">
        <f>H31</f>
        <v>399</v>
      </c>
      <c r="I35" s="30" t="s">
        <v>445</v>
      </c>
      <c r="J35" s="1"/>
    </row>
    <row r="36" spans="1:13">
      <c r="A36" s="8"/>
      <c r="B36" s="240" t="s">
        <v>449</v>
      </c>
      <c r="H36" s="111">
        <f>H34-H35</f>
        <v>101</v>
      </c>
      <c r="I36" s="30" t="s">
        <v>524</v>
      </c>
    </row>
    <row r="37" spans="1:13">
      <c r="B37" s="2" t="s">
        <v>466</v>
      </c>
      <c r="G37" s="2"/>
      <c r="J37" s="1"/>
    </row>
    <row r="38" spans="1:13">
      <c r="B38" s="430" t="s">
        <v>522</v>
      </c>
      <c r="C38" s="430"/>
      <c r="D38" s="430"/>
      <c r="E38" s="430"/>
      <c r="G38" s="48" t="s">
        <v>456</v>
      </c>
      <c r="H38" s="1">
        <v>130</v>
      </c>
      <c r="I38" s="30" t="s">
        <v>511</v>
      </c>
      <c r="J38" s="1"/>
    </row>
    <row r="39" spans="1:13" ht="15.75" customHeight="1">
      <c r="B39" s="430"/>
      <c r="C39" s="430"/>
      <c r="D39" s="430"/>
      <c r="E39" s="430"/>
      <c r="G39" s="255" t="s">
        <v>507</v>
      </c>
      <c r="H39" s="1">
        <f>H30</f>
        <v>33</v>
      </c>
      <c r="I39" s="30" t="s">
        <v>462</v>
      </c>
    </row>
    <row r="40" spans="1:13">
      <c r="B40" s="430"/>
      <c r="C40" s="430"/>
      <c r="D40" s="430"/>
      <c r="E40" s="430"/>
      <c r="H40" s="111">
        <f>H38-H39</f>
        <v>97</v>
      </c>
      <c r="I40" s="30" t="s">
        <v>525</v>
      </c>
    </row>
    <row r="41" spans="1:13" ht="18">
      <c r="B41" s="36"/>
    </row>
    <row r="43" spans="1:13" ht="18" hidden="1" outlineLevel="1">
      <c r="A43" s="34" t="s">
        <v>509</v>
      </c>
      <c r="B43" s="35"/>
    </row>
    <row r="44" spans="1:13" hidden="1" outlineLevel="1">
      <c r="A44" s="1" t="s">
        <v>492</v>
      </c>
      <c r="B44" s="43"/>
      <c r="D44" s="43"/>
      <c r="E44" s="43"/>
    </row>
    <row r="45" spans="1:13" hidden="1" outlineLevel="1">
      <c r="B45" s="1"/>
      <c r="C45" s="1"/>
      <c r="D45" s="1"/>
      <c r="E45" s="1"/>
    </row>
    <row r="46" spans="1:13" hidden="1" outlineLevel="1">
      <c r="H46" s="2" t="s">
        <v>131</v>
      </c>
    </row>
    <row r="47" spans="1:13" hidden="1" outlineLevel="1">
      <c r="A47" s="428" t="s">
        <v>443</v>
      </c>
      <c r="B47" s="428" t="s">
        <v>450</v>
      </c>
      <c r="C47" s="428" t="s">
        <v>451</v>
      </c>
      <c r="D47" s="428" t="s">
        <v>444</v>
      </c>
      <c r="E47" s="428" t="s">
        <v>467</v>
      </c>
      <c r="G47" s="50" t="s">
        <v>198</v>
      </c>
      <c r="H47" s="427" t="s">
        <v>454</v>
      </c>
      <c r="I47" s="427"/>
      <c r="J47" s="427"/>
      <c r="K47" s="427"/>
      <c r="L47" s="427"/>
      <c r="M47" s="427"/>
    </row>
    <row r="48" spans="1:13" hidden="1" outlineLevel="1">
      <c r="A48" s="429"/>
      <c r="B48" s="429"/>
      <c r="C48" s="429"/>
      <c r="D48" s="429"/>
      <c r="E48" s="429"/>
      <c r="F48" s="7"/>
      <c r="G48" s="2"/>
      <c r="H48" s="427"/>
      <c r="I48" s="427"/>
      <c r="J48" s="427"/>
      <c r="K48" s="427"/>
      <c r="L48" s="427"/>
      <c r="M48" s="427"/>
    </row>
    <row r="49" spans="1:10" hidden="1" outlineLevel="1">
      <c r="A49" s="218">
        <v>1</v>
      </c>
      <c r="B49" s="238" t="s">
        <v>392</v>
      </c>
      <c r="C49" s="3" t="s">
        <v>508</v>
      </c>
      <c r="D49" s="218">
        <v>130</v>
      </c>
      <c r="E49" s="218" t="s">
        <v>457</v>
      </c>
      <c r="F49" s="7"/>
      <c r="G49" s="5" t="s">
        <v>392</v>
      </c>
      <c r="H49" s="1">
        <f>ROUND(D49*0.83,0)</f>
        <v>108</v>
      </c>
      <c r="I49" s="30"/>
      <c r="J49" s="1"/>
    </row>
    <row r="50" spans="1:10" hidden="1" outlineLevel="1">
      <c r="A50" s="218">
        <v>2</v>
      </c>
      <c r="B50" s="238" t="s">
        <v>393</v>
      </c>
      <c r="C50" s="3" t="s">
        <v>508</v>
      </c>
      <c r="D50" s="218">
        <v>130</v>
      </c>
      <c r="E50" s="218" t="s">
        <v>457</v>
      </c>
      <c r="F50" s="7"/>
      <c r="G50" s="5" t="s">
        <v>393</v>
      </c>
      <c r="H50" s="1">
        <f>ROUND(D50*0.83,0)</f>
        <v>108</v>
      </c>
      <c r="I50" s="30"/>
      <c r="J50" s="1"/>
    </row>
    <row r="51" spans="1:10" hidden="1" outlineLevel="1">
      <c r="A51" s="218"/>
      <c r="B51" s="238" t="s">
        <v>394</v>
      </c>
      <c r="C51" s="3" t="s">
        <v>510</v>
      </c>
      <c r="D51" s="218">
        <v>30</v>
      </c>
      <c r="E51" s="244" t="s">
        <v>458</v>
      </c>
      <c r="F51" s="14"/>
      <c r="G51" s="5" t="s">
        <v>394</v>
      </c>
      <c r="H51" s="1">
        <f>ROUND(D51*0.83,0)</f>
        <v>25</v>
      </c>
      <c r="I51" s="30"/>
      <c r="J51" s="1"/>
    </row>
    <row r="52" spans="1:10" hidden="1" outlineLevel="1">
      <c r="C52" s="8" t="s">
        <v>150</v>
      </c>
      <c r="D52" s="239">
        <f>SUM(D49:D51)</f>
        <v>290</v>
      </c>
      <c r="E52" s="14"/>
      <c r="F52" s="1"/>
      <c r="H52" s="243">
        <f>H49+H50+H51</f>
        <v>241</v>
      </c>
      <c r="I52" s="30" t="s">
        <v>445</v>
      </c>
      <c r="J52" s="1"/>
    </row>
    <row r="53" spans="1:10" hidden="1" outlineLevel="1">
      <c r="C53" s="1"/>
      <c r="D53" s="1"/>
      <c r="E53" s="1"/>
      <c r="F53" s="1"/>
      <c r="H53" s="1"/>
      <c r="I53" s="1"/>
    </row>
    <row r="54" spans="1:10" hidden="1" outlineLevel="1">
      <c r="A54" s="2" t="s">
        <v>523</v>
      </c>
      <c r="B54" s="2" t="s">
        <v>465</v>
      </c>
      <c r="D54" s="1"/>
      <c r="E54" s="1"/>
      <c r="G54" s="50" t="s">
        <v>199</v>
      </c>
      <c r="H54" s="1" t="s">
        <v>436</v>
      </c>
      <c r="J54" s="1"/>
    </row>
    <row r="55" spans="1:10" hidden="1" outlineLevel="1">
      <c r="A55" s="8" t="s">
        <v>423</v>
      </c>
      <c r="B55" s="2" t="s">
        <v>464</v>
      </c>
      <c r="G55" s="48" t="s">
        <v>455</v>
      </c>
      <c r="H55" s="1">
        <v>500</v>
      </c>
      <c r="I55" s="30" t="s">
        <v>439</v>
      </c>
      <c r="J55" s="1"/>
    </row>
    <row r="56" spans="1:10" hidden="1" outlineLevel="1">
      <c r="A56" s="8" t="s">
        <v>424</v>
      </c>
      <c r="B56" s="1" t="s">
        <v>447</v>
      </c>
      <c r="H56" s="109">
        <f>H52</f>
        <v>241</v>
      </c>
      <c r="I56" s="30" t="s">
        <v>445</v>
      </c>
      <c r="J56" s="1"/>
    </row>
    <row r="57" spans="1:10" hidden="1" outlineLevel="1">
      <c r="A57" s="8"/>
      <c r="B57" s="240" t="s">
        <v>449</v>
      </c>
      <c r="H57" s="111">
        <f>H55-H56</f>
        <v>259</v>
      </c>
      <c r="I57" s="30" t="s">
        <v>446</v>
      </c>
    </row>
    <row r="58" spans="1:10" hidden="1" outlineLevel="1">
      <c r="B58" s="2" t="s">
        <v>466</v>
      </c>
      <c r="G58" s="2"/>
      <c r="J58" s="1"/>
    </row>
    <row r="59" spans="1:10" hidden="1" outlineLevel="1">
      <c r="G59" s="48" t="s">
        <v>456</v>
      </c>
      <c r="H59" s="1">
        <v>130</v>
      </c>
      <c r="I59" s="30" t="s">
        <v>405</v>
      </c>
      <c r="J59" s="1"/>
    </row>
    <row r="60" spans="1:10" hidden="1" outlineLevel="1">
      <c r="H60" s="1">
        <f>H51</f>
        <v>25</v>
      </c>
      <c r="I60" s="30" t="s">
        <v>462</v>
      </c>
    </row>
    <row r="61" spans="1:10" hidden="1" outlineLevel="1">
      <c r="H61" s="111">
        <f>H59-H60</f>
        <v>105</v>
      </c>
      <c r="I61" s="30" t="s">
        <v>463</v>
      </c>
    </row>
    <row r="62" spans="1:10" hidden="1" outlineLevel="1"/>
    <row r="63" spans="1:10" collapsed="1"/>
  </sheetData>
  <mergeCells count="21">
    <mergeCell ref="B18:E20"/>
    <mergeCell ref="B35:E35"/>
    <mergeCell ref="B38:E40"/>
    <mergeCell ref="H47:M48"/>
    <mergeCell ref="A47:A48"/>
    <mergeCell ref="B47:B48"/>
    <mergeCell ref="C47:C48"/>
    <mergeCell ref="D47:D48"/>
    <mergeCell ref="E47:E48"/>
    <mergeCell ref="H26:M27"/>
    <mergeCell ref="A26:A27"/>
    <mergeCell ref="B26:B27"/>
    <mergeCell ref="C26:C27"/>
    <mergeCell ref="D26:D27"/>
    <mergeCell ref="E26:E27"/>
    <mergeCell ref="H7:M8"/>
    <mergeCell ref="A7:A8"/>
    <mergeCell ref="B7:B8"/>
    <mergeCell ref="C7:C8"/>
    <mergeCell ref="D7:D8"/>
    <mergeCell ref="E7:E8"/>
  </mergeCells>
  <phoneticPr fontId="2" type="noConversion"/>
  <pageMargins left="0.55118110236220474" right="0.39370078740157483" top="0.39370078740157483" bottom="0.31496062992125984" header="0.31496062992125984" footer="0.19685039370078741"/>
  <pageSetup paperSize="9" scale="72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O44"/>
  <sheetViews>
    <sheetView workbookViewId="0">
      <selection activeCell="C16" sqref="C16"/>
    </sheetView>
  </sheetViews>
  <sheetFormatPr defaultColWidth="9" defaultRowHeight="15.75"/>
  <cols>
    <col min="1" max="1" width="9" style="2"/>
    <col min="2" max="2" width="14.875" style="2" customWidth="1"/>
    <col min="3" max="3" width="52.25" style="2" customWidth="1"/>
    <col min="4" max="4" width="7.875" style="50" customWidth="1"/>
    <col min="5" max="5" width="9.5" style="2" customWidth="1"/>
    <col min="6" max="6" width="67" style="2" customWidth="1"/>
    <col min="7" max="16384" width="9" style="2"/>
  </cols>
  <sheetData>
    <row r="1" spans="1:8" ht="20.25">
      <c r="A1" s="45" t="s">
        <v>249</v>
      </c>
    </row>
    <row r="2" spans="1:8" ht="18">
      <c r="A2" s="36"/>
    </row>
    <row r="3" spans="1:8" ht="39.75" customHeight="1">
      <c r="A3" s="2" t="s">
        <v>130</v>
      </c>
      <c r="B3" s="427" t="s">
        <v>317</v>
      </c>
      <c r="C3" s="427"/>
    </row>
    <row r="4" spans="1:8" ht="18">
      <c r="A4" s="34" t="s">
        <v>126</v>
      </c>
      <c r="B4" s="35"/>
    </row>
    <row r="5" spans="1:8">
      <c r="A5" s="2" t="s">
        <v>130</v>
      </c>
      <c r="B5" s="69" t="s">
        <v>127</v>
      </c>
      <c r="C5" s="69" t="s">
        <v>239</v>
      </c>
      <c r="E5" s="2" t="s">
        <v>345</v>
      </c>
      <c r="H5" s="1"/>
    </row>
    <row r="6" spans="1:8" ht="30.75" customHeight="1">
      <c r="B6" s="96" t="s">
        <v>139</v>
      </c>
      <c r="C6" s="93">
        <v>180</v>
      </c>
      <c r="D6" s="50" t="s">
        <v>198</v>
      </c>
      <c r="E6" s="427" t="s">
        <v>339</v>
      </c>
      <c r="F6" s="427"/>
    </row>
    <row r="7" spans="1:8">
      <c r="B7" s="96" t="s">
        <v>141</v>
      </c>
      <c r="C7" s="93">
        <v>40</v>
      </c>
      <c r="E7" s="1">
        <f>C8</f>
        <v>220</v>
      </c>
      <c r="F7" s="1" t="s">
        <v>241</v>
      </c>
      <c r="H7" s="1"/>
    </row>
    <row r="8" spans="1:8">
      <c r="B8" s="92" t="s">
        <v>240</v>
      </c>
      <c r="C8" s="94">
        <f>SUM(C6:C7)</f>
        <v>220</v>
      </c>
      <c r="E8" s="110" t="str">
        <f>'Conversion Rules (Appx II)'!E12</f>
        <v>1 Working Day</v>
      </c>
      <c r="F8" s="1" t="s">
        <v>242</v>
      </c>
      <c r="H8" s="1"/>
    </row>
    <row r="9" spans="1:8" ht="34.5" customHeight="1">
      <c r="B9" s="431" t="s">
        <v>325</v>
      </c>
      <c r="C9" s="431"/>
      <c r="E9" s="112" t="e">
        <f>E7*E8</f>
        <v>#VALUE!</v>
      </c>
      <c r="F9" s="1" t="s">
        <v>243</v>
      </c>
    </row>
    <row r="11" spans="1:8" ht="18" customHeight="1">
      <c r="A11" s="2" t="s">
        <v>128</v>
      </c>
      <c r="B11" s="2" t="s">
        <v>319</v>
      </c>
      <c r="D11" s="50" t="s">
        <v>199</v>
      </c>
      <c r="E11" s="1" t="s">
        <v>318</v>
      </c>
    </row>
    <row r="12" spans="1:8">
      <c r="B12" s="1" t="s">
        <v>320</v>
      </c>
      <c r="E12" s="1" t="e">
        <f>'Conversion Rules (Appx II)'!#REF!</f>
        <v>#REF!</v>
      </c>
      <c r="F12" s="1" t="s">
        <v>207</v>
      </c>
    </row>
    <row r="13" spans="1:8">
      <c r="A13" s="8"/>
      <c r="B13" s="2" t="s">
        <v>321</v>
      </c>
      <c r="C13" s="27"/>
      <c r="E13" s="113" t="e">
        <f>E9</f>
        <v>#VALUE!</v>
      </c>
      <c r="F13" s="1" t="s">
        <v>245</v>
      </c>
    </row>
    <row r="14" spans="1:8">
      <c r="B14" s="1" t="s">
        <v>322</v>
      </c>
      <c r="E14" s="103" t="e">
        <f>E12-E13</f>
        <v>#REF!</v>
      </c>
      <c r="F14" s="1" t="s">
        <v>244</v>
      </c>
    </row>
    <row r="15" spans="1:8">
      <c r="A15" s="8" t="s">
        <v>341</v>
      </c>
      <c r="B15" s="39" t="s">
        <v>137</v>
      </c>
      <c r="E15" s="27"/>
      <c r="F15" s="1"/>
    </row>
    <row r="16" spans="1:8" ht="39.75" customHeight="1">
      <c r="B16" s="50" t="s">
        <v>323</v>
      </c>
      <c r="D16" s="50" t="s">
        <v>201</v>
      </c>
      <c r="E16" s="427" t="s">
        <v>203</v>
      </c>
      <c r="F16" s="427"/>
    </row>
    <row r="17" spans="1:15">
      <c r="E17" s="114" t="e">
        <f>E14</f>
        <v>#REF!</v>
      </c>
      <c r="F17" s="1" t="s">
        <v>244</v>
      </c>
      <c r="O17" s="1"/>
    </row>
    <row r="18" spans="1:15">
      <c r="E18" s="10">
        <v>100</v>
      </c>
      <c r="F18" s="1" t="s">
        <v>211</v>
      </c>
      <c r="O18" s="1"/>
    </row>
    <row r="19" spans="1:15">
      <c r="E19" s="95" t="e">
        <f>E17/E18</f>
        <v>#REF!</v>
      </c>
      <c r="F19" s="1" t="s">
        <v>212</v>
      </c>
      <c r="O19" s="1"/>
    </row>
    <row r="21" spans="1:15" ht="18">
      <c r="A21" s="34" t="s">
        <v>133</v>
      </c>
      <c r="B21" s="35"/>
    </row>
    <row r="22" spans="1:15">
      <c r="A22" s="2" t="s">
        <v>130</v>
      </c>
      <c r="B22" s="69" t="s">
        <v>127</v>
      </c>
      <c r="C22" s="69" t="s">
        <v>239</v>
      </c>
      <c r="E22" s="2" t="s">
        <v>131</v>
      </c>
    </row>
    <row r="23" spans="1:15" ht="35.25" customHeight="1">
      <c r="B23" s="96" t="s">
        <v>246</v>
      </c>
      <c r="C23" s="93">
        <v>175</v>
      </c>
      <c r="D23" s="50" t="s">
        <v>198</v>
      </c>
      <c r="E23" s="427" t="s">
        <v>339</v>
      </c>
      <c r="F23" s="427"/>
    </row>
    <row r="24" spans="1:15">
      <c r="B24" s="96" t="s">
        <v>247</v>
      </c>
      <c r="C24" s="93">
        <v>150</v>
      </c>
      <c r="E24" s="1">
        <f>C26</f>
        <v>370</v>
      </c>
      <c r="F24" s="1" t="s">
        <v>241</v>
      </c>
    </row>
    <row r="25" spans="1:15">
      <c r="B25" s="96" t="s">
        <v>248</v>
      </c>
      <c r="C25" s="93">
        <v>45</v>
      </c>
      <c r="E25" s="110" t="str">
        <f>'Conversion Rules (Appx II)'!E12</f>
        <v>1 Working Day</v>
      </c>
      <c r="F25" s="1" t="s">
        <v>242</v>
      </c>
    </row>
    <row r="26" spans="1:15">
      <c r="B26" s="92" t="s">
        <v>240</v>
      </c>
      <c r="C26" s="94">
        <f>SUM(C23:C25)</f>
        <v>370</v>
      </c>
      <c r="E26" s="103" t="e">
        <f>E24*E25</f>
        <v>#VALUE!</v>
      </c>
      <c r="F26" s="1" t="s">
        <v>243</v>
      </c>
    </row>
    <row r="27" spans="1:15">
      <c r="B27" s="1" t="s">
        <v>324</v>
      </c>
      <c r="C27" s="1"/>
      <c r="E27" s="1"/>
      <c r="F27" s="1"/>
    </row>
    <row r="28" spans="1:15">
      <c r="D28" s="50" t="s">
        <v>199</v>
      </c>
      <c r="E28" s="1" t="s">
        <v>202</v>
      </c>
      <c r="F28" s="1"/>
    </row>
    <row r="29" spans="1:15">
      <c r="A29" s="2" t="s">
        <v>128</v>
      </c>
      <c r="B29" s="2" t="s">
        <v>326</v>
      </c>
      <c r="E29" s="1" t="e">
        <f>'Conversion Rules (Appx II)'!#REF!</f>
        <v>#REF!</v>
      </c>
      <c r="F29" s="1" t="s">
        <v>207</v>
      </c>
    </row>
    <row r="30" spans="1:15">
      <c r="B30" s="1" t="s">
        <v>327</v>
      </c>
      <c r="E30" s="109" t="e">
        <f>E26</f>
        <v>#VALUE!</v>
      </c>
      <c r="F30" s="1" t="s">
        <v>245</v>
      </c>
    </row>
    <row r="31" spans="1:15">
      <c r="B31" s="2" t="s">
        <v>328</v>
      </c>
      <c r="E31" s="111" t="e">
        <f>E29-E30</f>
        <v>#REF!</v>
      </c>
      <c r="F31" s="1" t="s">
        <v>244</v>
      </c>
    </row>
    <row r="32" spans="1:15">
      <c r="B32" s="1" t="s">
        <v>329</v>
      </c>
    </row>
    <row r="33" spans="1:6" ht="33" customHeight="1">
      <c r="A33" s="8" t="s">
        <v>341</v>
      </c>
      <c r="B33" s="39" t="s">
        <v>330</v>
      </c>
      <c r="D33" s="50" t="s">
        <v>201</v>
      </c>
      <c r="E33" s="427" t="s">
        <v>203</v>
      </c>
      <c r="F33" s="427"/>
    </row>
    <row r="34" spans="1:6">
      <c r="B34" s="2" t="s">
        <v>331</v>
      </c>
      <c r="E34" s="114" t="e">
        <f>E31</f>
        <v>#REF!</v>
      </c>
      <c r="F34" s="1" t="s">
        <v>244</v>
      </c>
    </row>
    <row r="35" spans="1:6">
      <c r="E35" s="10">
        <f>E18</f>
        <v>100</v>
      </c>
      <c r="F35" s="1" t="s">
        <v>211</v>
      </c>
    </row>
    <row r="36" spans="1:6" ht="18">
      <c r="A36" s="36"/>
      <c r="E36" s="95" t="e">
        <f>E34/E35</f>
        <v>#REF!</v>
      </c>
      <c r="F36" s="1" t="s">
        <v>212</v>
      </c>
    </row>
    <row r="38" spans="1:6">
      <c r="B38" s="1"/>
      <c r="C38" s="1"/>
      <c r="E38" s="1"/>
    </row>
    <row r="39" spans="1:6">
      <c r="B39" s="1"/>
      <c r="C39" s="1"/>
    </row>
    <row r="40" spans="1:6">
      <c r="B40" s="1"/>
      <c r="C40" s="1"/>
    </row>
    <row r="42" spans="1:6">
      <c r="B42" s="1"/>
      <c r="E42" s="27"/>
    </row>
    <row r="44" spans="1:6">
      <c r="B44" s="1"/>
    </row>
  </sheetData>
  <mergeCells count="6">
    <mergeCell ref="E33:F33"/>
    <mergeCell ref="B3:C3"/>
    <mergeCell ref="B9:C9"/>
    <mergeCell ref="E6:F6"/>
    <mergeCell ref="E16:F16"/>
    <mergeCell ref="E23:F2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fitToHeight="3" orientation="landscape" horizontalDpi="300" verticalDpi="300" r:id="rId1"/>
  <headerFooter>
    <oddHeader>&amp;R&amp;D</oddHeader>
    <oddFooter>&amp;C&amp;"Arial,標準"&amp;10&amp;APage &amp;P of &amp;N</oddFooter>
  </headerFooter>
  <rowBreaks count="1" manualBreakCount="1">
    <brk id="2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192"/>
  <sheetViews>
    <sheetView topLeftCell="A7" zoomScale="55" zoomScaleNormal="55" zoomScaleSheetLayoutView="85" zoomScalePageLayoutView="55" workbookViewId="0">
      <selection activeCell="D8" sqref="D8:I9"/>
    </sheetView>
  </sheetViews>
  <sheetFormatPr defaultColWidth="9" defaultRowHeight="15.75"/>
  <cols>
    <col min="1" max="1" width="3.125" style="1" customWidth="1"/>
    <col min="2" max="2" width="23.875" style="1" customWidth="1"/>
    <col min="3" max="3" width="74.625" style="1" customWidth="1"/>
    <col min="4" max="4" width="17.5" style="1" customWidth="1"/>
    <col min="5" max="5" width="17.5" style="122" customWidth="1"/>
    <col min="6" max="6" width="21" style="122" customWidth="1"/>
    <col min="7" max="7" width="14.5" style="122" customWidth="1"/>
    <col min="8" max="8" width="7.5" style="122" customWidth="1"/>
    <col min="9" max="9" width="7.5" style="122" bestFit="1" customWidth="1"/>
    <col min="10" max="10" width="15.125" style="122" customWidth="1"/>
    <col min="11" max="11" width="17.625" style="2" customWidth="1"/>
    <col min="12" max="12" width="0.5" style="1" hidden="1" customWidth="1"/>
    <col min="13" max="16384" width="9" style="1"/>
  </cols>
  <sheetData>
    <row r="1" spans="1:11" ht="32.25" customHeight="1">
      <c r="B1" s="462" t="s">
        <v>597</v>
      </c>
      <c r="C1" s="462"/>
      <c r="D1" s="462"/>
      <c r="E1" s="462"/>
      <c r="F1" s="462"/>
      <c r="G1" s="462"/>
      <c r="H1" s="462"/>
      <c r="I1" s="462"/>
      <c r="J1" s="462"/>
      <c r="K1" s="462"/>
    </row>
    <row r="2" spans="1:11" ht="32.25" customHeight="1">
      <c r="B2" s="451" t="s">
        <v>598</v>
      </c>
      <c r="C2" s="451"/>
      <c r="D2" s="451"/>
      <c r="E2" s="451"/>
      <c r="F2" s="451"/>
      <c r="G2" s="451"/>
      <c r="H2" s="451"/>
      <c r="I2" s="451"/>
      <c r="J2" s="451"/>
      <c r="K2" s="451"/>
    </row>
    <row r="3" spans="1:11" ht="26.25" customHeight="1"/>
    <row r="4" spans="1:11" ht="26.25" customHeight="1">
      <c r="B4" s="51" t="s">
        <v>579</v>
      </c>
      <c r="C4" s="51"/>
      <c r="D4" s="445" t="s">
        <v>628</v>
      </c>
      <c r="E4" s="445"/>
      <c r="F4" s="445"/>
      <c r="G4" s="445"/>
      <c r="H4" s="445"/>
      <c r="I4" s="445"/>
    </row>
    <row r="5" spans="1:11" ht="26.25" customHeight="1">
      <c r="B5" s="51" t="s">
        <v>578</v>
      </c>
      <c r="C5" s="51"/>
      <c r="D5" s="445" t="s">
        <v>629</v>
      </c>
      <c r="E5" s="445"/>
      <c r="F5" s="445"/>
      <c r="G5" s="445"/>
      <c r="H5" s="445"/>
      <c r="I5" s="445"/>
    </row>
    <row r="6" spans="1:11" ht="26.25" customHeight="1">
      <c r="B6" s="51" t="s">
        <v>594</v>
      </c>
      <c r="C6" s="51"/>
      <c r="D6" s="444" t="str">
        <f>IFERROR(DATEDIF(SMALL(D20:E25,1),SUM(LARGE(D20:E25,1)+1), "y") &amp; IF(DATEDIF(SMALL(D20:E25,1),SUM(LARGE(D20:E25,1)+1), "y")=1, " year ", " years ") &amp;DATEDIF(SMALL(D20:E25,1),SUM(LARGE(D20:E25,1)+1),"ym") &amp; IF(DATEDIF(SMALL(D20:E25,1),SUM(LARGE(D20:E25,1)+1), "ym")=1, " month ", " months ") &amp; DATEDIF(SMALL(D20:E25,1),SUM(LARGE(D20:E25,1)+1), "md") &amp; IF(DATEDIF(SMALL(D20:E25,1),SUM(LARGE(D20:E25,1)+1), "md")=1, " day"," days"),0)</f>
        <v>1 year 11 months 0 days</v>
      </c>
      <c r="E6" s="444"/>
      <c r="F6" s="444"/>
      <c r="G6" s="444"/>
      <c r="H6" s="444"/>
      <c r="I6" s="444"/>
    </row>
    <row r="7" spans="1:11" ht="26.25" customHeight="1">
      <c r="A7" s="5"/>
      <c r="B7" s="301" t="s">
        <v>580</v>
      </c>
      <c r="C7" s="305"/>
      <c r="D7" s="452" t="str">
        <f>SUM(G20:G25)&amp;" days"</f>
        <v>150 days</v>
      </c>
      <c r="E7" s="452"/>
      <c r="F7" s="452"/>
      <c r="G7" s="452"/>
      <c r="H7" s="452"/>
      <c r="I7" s="452"/>
    </row>
    <row r="8" spans="1:11" ht="26.25" customHeight="1">
      <c r="A8" s="5"/>
      <c r="B8" s="301" t="s">
        <v>595</v>
      </c>
      <c r="C8" s="305"/>
      <c r="D8" s="452">
        <f>COUNT(C20:C25)</f>
        <v>1</v>
      </c>
      <c r="E8" s="452"/>
      <c r="F8" s="452"/>
      <c r="G8" s="452"/>
      <c r="H8" s="452"/>
      <c r="I8" s="452"/>
    </row>
    <row r="9" spans="1:11" ht="26.25" customHeight="1">
      <c r="A9" s="5"/>
      <c r="B9" s="301" t="s">
        <v>596</v>
      </c>
      <c r="C9" s="305"/>
      <c r="D9" s="452">
        <f>COUNTIFS(F20:F25,"&gt;0 days",F20:F25,"&lt;1 year")</f>
        <v>0</v>
      </c>
      <c r="E9" s="452"/>
      <c r="F9" s="452"/>
      <c r="G9" s="452"/>
      <c r="H9" s="452"/>
      <c r="I9" s="452"/>
    </row>
    <row r="10" spans="1:11" ht="26.25" customHeight="1">
      <c r="A10" s="5"/>
      <c r="B10" s="51" t="s">
        <v>581</v>
      </c>
      <c r="C10" s="51"/>
      <c r="D10" s="448" t="str">
        <f>IF(AND(D6="3 years",SUM(E181:G181)&lt;1),"Yes",IF(AND(D6="4 years",SUM(E181:H181)&lt;1),"Yes",IF(AND(D6="5 years",SUM(E181:I181)&lt;1),"Yes","No")))</f>
        <v>No</v>
      </c>
      <c r="E10" s="448"/>
      <c r="F10" s="448"/>
      <c r="G10" s="448"/>
      <c r="H10" s="448"/>
      <c r="I10" s="448"/>
    </row>
    <row r="11" spans="1:11" ht="26.25" customHeight="1">
      <c r="B11" s="51" t="s">
        <v>590</v>
      </c>
      <c r="C11" s="51"/>
      <c r="D11" s="448" t="str">
        <f>IF(G191=0,"Yes","No")</f>
        <v>No</v>
      </c>
      <c r="E11" s="448"/>
      <c r="F11" s="448"/>
      <c r="G11" s="448"/>
      <c r="H11" s="448"/>
      <c r="I11" s="448"/>
    </row>
    <row r="12" spans="1:11" ht="26.25" customHeight="1">
      <c r="B12" s="51" t="s">
        <v>591</v>
      </c>
      <c r="C12" s="51"/>
      <c r="D12" s="448" t="str">
        <f>IF(COUNTIF(J138:J140,"Yes")&gt;=1,"Yes","No")</f>
        <v>No</v>
      </c>
      <c r="E12" s="448"/>
      <c r="F12" s="448"/>
      <c r="G12" s="448"/>
      <c r="H12" s="448"/>
      <c r="I12" s="448"/>
    </row>
    <row r="13" spans="1:11" ht="26.25" customHeight="1">
      <c r="B13" s="51" t="s">
        <v>592</v>
      </c>
      <c r="C13" s="51"/>
      <c r="D13" s="448" t="str">
        <f>IF(COUNTIF(J138:J165,"Yes")&gt;=4,"Yes","No")</f>
        <v>No</v>
      </c>
      <c r="E13" s="448"/>
      <c r="F13" s="448"/>
      <c r="G13" s="448"/>
      <c r="H13" s="448"/>
      <c r="I13" s="448"/>
    </row>
    <row r="14" spans="1:11" ht="26.25" customHeight="1"/>
    <row r="15" spans="1:11" ht="18">
      <c r="B15" s="267" t="s">
        <v>599</v>
      </c>
    </row>
    <row r="16" spans="1:11" ht="26.25" customHeight="1"/>
    <row r="17" spans="1:12" ht="18">
      <c r="B17" s="36" t="s">
        <v>600</v>
      </c>
    </row>
    <row r="18" spans="1:12">
      <c r="B18" s="185" t="s">
        <v>605</v>
      </c>
    </row>
    <row r="19" spans="1:12" ht="72">
      <c r="B19" s="36" t="s">
        <v>601</v>
      </c>
      <c r="C19" s="36" t="s">
        <v>602</v>
      </c>
      <c r="D19" s="306" t="s">
        <v>606</v>
      </c>
      <c r="E19" s="306" t="s">
        <v>607</v>
      </c>
      <c r="F19" s="306" t="s">
        <v>603</v>
      </c>
      <c r="G19" s="307" t="s">
        <v>604</v>
      </c>
    </row>
    <row r="20" spans="1:12" ht="36" customHeight="1">
      <c r="A20" s="1">
        <v>1</v>
      </c>
      <c r="B20" s="309" t="s">
        <v>533</v>
      </c>
      <c r="C20" s="309">
        <v>1</v>
      </c>
      <c r="D20" s="312">
        <v>43831</v>
      </c>
      <c r="E20" s="312">
        <v>44530</v>
      </c>
      <c r="F20" s="314" t="str">
        <f t="shared" ref="F20" si="0">IFERROR(DATEDIF(SMALL(D20:E20,1),SUM(LARGE(D20:E20,1)+1), "y") &amp; IF(DATEDIF(SMALL(D20:E20,1),SUM(LARGE(D20:E20,1)+1), "y")=1, " year ", " years ") &amp;DATEDIF(SMALL(D20:E20,1),SUM(LARGE(D20:E20,1)+1),"ym") &amp; IF(DATEDIF(SMALL(D20:E20,1),SUM(LARGE(D20:E20,1)+1), "ym")=1, " month ", " months ") &amp; DATEDIF(SMALL(D20:E20,1),SUM(LARGE(D20:E20,1)+1), "md") &amp; IF(DATEDIF(SMALL(D20:E20,1),SUM(LARGE(D20:E20,1)+1), "md")=1, " day"," days"),0)</f>
        <v>1 year 11 months 0 days</v>
      </c>
      <c r="G20" s="310">
        <v>150</v>
      </c>
    </row>
    <row r="21" spans="1:12">
      <c r="A21" s="1">
        <v>2</v>
      </c>
      <c r="B21" s="309"/>
      <c r="C21" s="309"/>
      <c r="D21" s="312"/>
      <c r="E21" s="312"/>
      <c r="F21" s="314">
        <f>IFERROR(DATEDIF(SMALL(D21:E21,1),SUM(LARGE(D21:E21,1)+1), "y") &amp; IF(DATEDIF(SMALL(D21:E21,1),SUM(LARGE(D21:E21,1)+1), "y")=1, " year ", " years ") &amp;DATEDIF(SMALL(D21:E21,1),SUM(LARGE(D21:E21,1)+1),"ym") &amp; IF(DATEDIF(SMALL(D21:E21,1),SUM(LARGE(D21:E21,1)+1), "ym")=1, " month ", " months ") &amp; DATEDIF(SMALL(D21:E21,1),SUM(LARGE(D21:E21,1)+1), "md") &amp; IF(DATEDIF(SMALL(D21:E21,1),SUM(LARGE(D21:E21,1)+1), "md")=1, " day"," days"),0)</f>
        <v>0</v>
      </c>
      <c r="G21" s="310"/>
    </row>
    <row r="22" spans="1:12">
      <c r="A22" s="1">
        <v>3</v>
      </c>
      <c r="B22" s="309"/>
      <c r="C22" s="309"/>
      <c r="D22" s="313"/>
      <c r="E22" s="313"/>
      <c r="F22" s="314">
        <f t="shared" ref="F22:F25" si="1">IFERROR(DATEDIF(SMALL(D22:E22,1),SUM(LARGE(D22:E22,1)+1), "y") &amp; IF(DATEDIF(SMALL(D22:E22,1),SUM(LARGE(D22:E22,1)+1), "y")=1, " year ", " years ") &amp;DATEDIF(SMALL(D22:E22,1),SUM(LARGE(D22:E22,1)+1),"ym") &amp; IF(DATEDIF(SMALL(D22:E22,1),SUM(LARGE(D22:E22,1)+1), "ym")=1, " month ", " months ") &amp; DATEDIF(SMALL(D22:E22,1),SUM(LARGE(D22:E22,1)+1), "md") &amp; IF(DATEDIF(SMALL(D22:E22,1),SUM(LARGE(D22:E22,1)+1), "md")=1, " day"," days"),0)</f>
        <v>0</v>
      </c>
      <c r="G22" s="310"/>
    </row>
    <row r="23" spans="1:12">
      <c r="A23" s="1">
        <v>4</v>
      </c>
      <c r="B23" s="309"/>
      <c r="C23" s="309"/>
      <c r="D23" s="313"/>
      <c r="E23" s="313"/>
      <c r="F23" s="314">
        <f t="shared" si="1"/>
        <v>0</v>
      </c>
      <c r="G23" s="310"/>
    </row>
    <row r="24" spans="1:12">
      <c r="A24" s="1">
        <v>5</v>
      </c>
      <c r="B24" s="309"/>
      <c r="C24" s="309"/>
      <c r="D24" s="313"/>
      <c r="E24" s="313"/>
      <c r="F24" s="314">
        <f t="shared" si="1"/>
        <v>0</v>
      </c>
      <c r="G24" s="310"/>
    </row>
    <row r="25" spans="1:12" ht="26.25" customHeight="1">
      <c r="A25" s="1">
        <v>6</v>
      </c>
      <c r="B25" s="309"/>
      <c r="C25" s="309"/>
      <c r="D25" s="309"/>
      <c r="E25" s="311"/>
      <c r="F25" s="314">
        <f t="shared" si="1"/>
        <v>0</v>
      </c>
      <c r="G25" s="311"/>
    </row>
    <row r="26" spans="1:12" ht="26.25" customHeight="1"/>
    <row r="27" spans="1:12" ht="26.25" customHeight="1">
      <c r="F27" s="8" t="s">
        <v>630</v>
      </c>
      <c r="G27" s="122">
        <f>SUM(G20:G25)</f>
        <v>150</v>
      </c>
    </row>
    <row r="28" spans="1:12" ht="33" customHeight="1">
      <c r="A28" s="36" t="s">
        <v>480</v>
      </c>
    </row>
    <row r="29" spans="1:12" ht="30" customHeight="1">
      <c r="B29" s="267" t="s">
        <v>481</v>
      </c>
      <c r="E29" s="455" t="s">
        <v>566</v>
      </c>
      <c r="F29" s="455"/>
      <c r="G29" s="455"/>
      <c r="H29" s="455"/>
      <c r="I29" s="455"/>
      <c r="J29" s="453" t="s">
        <v>593</v>
      </c>
      <c r="K29" s="456" t="s">
        <v>564</v>
      </c>
    </row>
    <row r="30" spans="1:12" ht="21" customHeight="1">
      <c r="B30" s="267"/>
      <c r="E30" s="98"/>
      <c r="F30" s="98"/>
      <c r="G30" s="98"/>
      <c r="H30" s="459" t="s">
        <v>565</v>
      </c>
      <c r="I30" s="460"/>
      <c r="J30" s="453"/>
      <c r="K30" s="457"/>
    </row>
    <row r="31" spans="1:12" ht="53.25" customHeight="1">
      <c r="B31" s="46" t="s">
        <v>360</v>
      </c>
      <c r="C31" s="268"/>
      <c r="D31" s="265" t="s">
        <v>567</v>
      </c>
      <c r="E31" s="263" t="s">
        <v>392</v>
      </c>
      <c r="F31" s="263" t="s">
        <v>393</v>
      </c>
      <c r="G31" s="263" t="s">
        <v>394</v>
      </c>
      <c r="H31" s="269" t="s">
        <v>395</v>
      </c>
      <c r="I31" s="270" t="s">
        <v>396</v>
      </c>
      <c r="J31" s="454"/>
      <c r="K31" s="458"/>
      <c r="L31" s="123"/>
    </row>
    <row r="32" spans="1:12" ht="45">
      <c r="B32" s="99" t="s">
        <v>0</v>
      </c>
      <c r="C32" s="271" t="s">
        <v>374</v>
      </c>
      <c r="D32" s="264" t="s">
        <v>371</v>
      </c>
      <c r="E32" s="182"/>
      <c r="F32" s="182"/>
      <c r="G32" s="182"/>
      <c r="H32" s="182"/>
      <c r="I32" s="182"/>
      <c r="J32" s="272">
        <f>SUM(E32:I32)</f>
        <v>0</v>
      </c>
      <c r="K32" s="266" t="s">
        <v>472</v>
      </c>
      <c r="L32" s="6"/>
    </row>
    <row r="33" spans="2:12" ht="78.75" customHeight="1">
      <c r="B33" s="100" t="s">
        <v>2</v>
      </c>
      <c r="C33" s="274" t="s">
        <v>30</v>
      </c>
      <c r="D33" s="275" t="s">
        <v>372</v>
      </c>
      <c r="E33" s="124"/>
      <c r="F33" s="124"/>
      <c r="G33" s="124"/>
      <c r="H33" s="124"/>
      <c r="I33" s="124"/>
      <c r="J33" s="272">
        <f t="shared" ref="J33:J36" si="2">SUM(E33:I33)</f>
        <v>0</v>
      </c>
      <c r="K33" s="273" t="s">
        <v>26</v>
      </c>
      <c r="L33" s="6"/>
    </row>
    <row r="34" spans="2:12">
      <c r="B34" s="100" t="s">
        <v>4</v>
      </c>
      <c r="C34" s="16" t="s">
        <v>31</v>
      </c>
      <c r="D34" s="264" t="s">
        <v>371</v>
      </c>
      <c r="E34" s="124"/>
      <c r="F34" s="124"/>
      <c r="G34" s="124"/>
      <c r="H34" s="124"/>
      <c r="I34" s="124"/>
      <c r="J34" s="272">
        <f t="shared" si="2"/>
        <v>0</v>
      </c>
      <c r="K34" s="273" t="s">
        <v>27</v>
      </c>
      <c r="L34" s="6"/>
    </row>
    <row r="35" spans="2:12" ht="52.5" customHeight="1">
      <c r="B35" s="100" t="s">
        <v>6</v>
      </c>
      <c r="C35" s="274" t="s">
        <v>32</v>
      </c>
      <c r="D35" s="264" t="s">
        <v>371</v>
      </c>
      <c r="E35" s="124"/>
      <c r="F35" s="124"/>
      <c r="G35" s="124"/>
      <c r="H35" s="124"/>
      <c r="I35" s="124"/>
      <c r="J35" s="272">
        <f t="shared" si="2"/>
        <v>0</v>
      </c>
      <c r="K35" s="273" t="s">
        <v>28</v>
      </c>
      <c r="L35" s="121"/>
    </row>
    <row r="36" spans="2:12" ht="15" hidden="1">
      <c r="B36" s="100" t="s">
        <v>373</v>
      </c>
      <c r="C36" s="276" t="s">
        <v>361</v>
      </c>
      <c r="D36" s="277" t="s">
        <v>361</v>
      </c>
      <c r="E36" s="278"/>
      <c r="F36" s="278"/>
      <c r="G36" s="278"/>
      <c r="H36" s="278"/>
      <c r="I36" s="278"/>
      <c r="J36" s="272">
        <f t="shared" si="2"/>
        <v>0</v>
      </c>
      <c r="K36" s="278"/>
      <c r="L36" s="121"/>
    </row>
    <row r="37" spans="2:12">
      <c r="B37" s="279"/>
      <c r="C37" s="186"/>
      <c r="D37" s="24"/>
      <c r="E37" s="187"/>
      <c r="F37" s="187"/>
      <c r="G37" s="187"/>
      <c r="H37" s="187"/>
      <c r="I37" s="187"/>
      <c r="J37" s="187"/>
      <c r="K37" s="232"/>
      <c r="L37" s="121"/>
    </row>
    <row r="38" spans="2:12">
      <c r="B38" s="280" t="s">
        <v>164</v>
      </c>
      <c r="C38" s="47"/>
      <c r="D38" s="47"/>
      <c r="E38" s="281"/>
      <c r="F38" s="281"/>
      <c r="G38" s="281"/>
      <c r="H38" s="281"/>
      <c r="I38" s="281"/>
      <c r="J38" s="281"/>
      <c r="K38" s="98"/>
      <c r="L38" s="121"/>
    </row>
    <row r="39" spans="2:12">
      <c r="B39" s="100" t="s">
        <v>0</v>
      </c>
      <c r="C39" s="16" t="s">
        <v>33</v>
      </c>
      <c r="D39" s="275" t="s">
        <v>371</v>
      </c>
      <c r="E39" s="125"/>
      <c r="F39" s="125"/>
      <c r="G39" s="125"/>
      <c r="H39" s="125"/>
      <c r="I39" s="125"/>
      <c r="J39" s="272">
        <f t="shared" ref="J39:J43" si="3">SUM(E39:I39)</f>
        <v>0</v>
      </c>
      <c r="K39" s="266" t="s">
        <v>472</v>
      </c>
      <c r="L39" s="121"/>
    </row>
    <row r="40" spans="2:12">
      <c r="B40" s="100" t="s">
        <v>2</v>
      </c>
      <c r="C40" s="16" t="s">
        <v>34</v>
      </c>
      <c r="D40" s="275" t="s">
        <v>372</v>
      </c>
      <c r="E40" s="125"/>
      <c r="F40" s="125"/>
      <c r="G40" s="125"/>
      <c r="H40" s="125"/>
      <c r="I40" s="125"/>
      <c r="J40" s="272">
        <f t="shared" si="3"/>
        <v>0</v>
      </c>
      <c r="K40" s="273" t="s">
        <v>26</v>
      </c>
    </row>
    <row r="41" spans="2:12">
      <c r="B41" s="100" t="s">
        <v>3</v>
      </c>
      <c r="C41" s="16" t="s">
        <v>31</v>
      </c>
      <c r="D41" s="275" t="s">
        <v>371</v>
      </c>
      <c r="E41" s="125"/>
      <c r="F41" s="125"/>
      <c r="G41" s="125"/>
      <c r="H41" s="125"/>
      <c r="I41" s="125"/>
      <c r="J41" s="272">
        <f t="shared" si="3"/>
        <v>0</v>
      </c>
      <c r="K41" s="273" t="s">
        <v>27</v>
      </c>
    </row>
    <row r="42" spans="2:12">
      <c r="B42" s="100" t="s">
        <v>5</v>
      </c>
      <c r="C42" s="16" t="s">
        <v>35</v>
      </c>
      <c r="D42" s="275" t="s">
        <v>371</v>
      </c>
      <c r="E42" s="125"/>
      <c r="F42" s="125"/>
      <c r="G42" s="125"/>
      <c r="H42" s="125"/>
      <c r="I42" s="125"/>
      <c r="J42" s="272">
        <f t="shared" si="3"/>
        <v>0</v>
      </c>
      <c r="K42" s="273" t="s">
        <v>28</v>
      </c>
      <c r="L42" s="6"/>
    </row>
    <row r="43" spans="2:12" ht="15" hidden="1">
      <c r="B43" s="100" t="s">
        <v>373</v>
      </c>
      <c r="C43" s="276" t="s">
        <v>361</v>
      </c>
      <c r="D43" s="277" t="s">
        <v>361</v>
      </c>
      <c r="E43" s="278"/>
      <c r="F43" s="278"/>
      <c r="G43" s="278"/>
      <c r="H43" s="278"/>
      <c r="I43" s="278"/>
      <c r="J43" s="272">
        <f t="shared" si="3"/>
        <v>0</v>
      </c>
      <c r="K43" s="278"/>
      <c r="L43" s="6"/>
    </row>
    <row r="44" spans="2:12" ht="15">
      <c r="B44" s="279"/>
      <c r="C44" s="279"/>
      <c r="D44" s="279"/>
      <c r="E44" s="282"/>
      <c r="F44" s="282"/>
      <c r="G44" s="282"/>
      <c r="H44" s="282"/>
      <c r="I44" s="282"/>
      <c r="J44" s="282"/>
      <c r="K44" s="279"/>
      <c r="L44" s="6"/>
    </row>
    <row r="45" spans="2:12">
      <c r="B45" s="280" t="s">
        <v>165</v>
      </c>
      <c r="C45" s="186"/>
      <c r="D45" s="24"/>
      <c r="E45" s="187"/>
      <c r="F45" s="187"/>
      <c r="G45" s="187"/>
      <c r="H45" s="187"/>
      <c r="I45" s="187"/>
      <c r="J45" s="187"/>
      <c r="K45" s="232"/>
      <c r="L45" s="6"/>
    </row>
    <row r="46" spans="2:12">
      <c r="B46" s="100" t="s">
        <v>0</v>
      </c>
      <c r="C46" s="16" t="s">
        <v>36</v>
      </c>
      <c r="D46" s="275" t="s">
        <v>372</v>
      </c>
      <c r="E46" s="125"/>
      <c r="F46" s="125"/>
      <c r="G46" s="125"/>
      <c r="H46" s="125"/>
      <c r="I46" s="125"/>
      <c r="J46" s="272">
        <f t="shared" ref="J46:J52" si="4">SUM(E46:I46)</f>
        <v>0</v>
      </c>
      <c r="K46" s="266" t="s">
        <v>472</v>
      </c>
    </row>
    <row r="47" spans="2:12">
      <c r="B47" s="100" t="s">
        <v>2</v>
      </c>
      <c r="C47" s="16" t="s">
        <v>37</v>
      </c>
      <c r="D47" s="275" t="s">
        <v>372</v>
      </c>
      <c r="E47" s="125"/>
      <c r="F47" s="125"/>
      <c r="G47" s="125"/>
      <c r="H47" s="125"/>
      <c r="I47" s="125"/>
      <c r="J47" s="272">
        <f t="shared" si="4"/>
        <v>0</v>
      </c>
      <c r="K47" s="266" t="s">
        <v>472</v>
      </c>
    </row>
    <row r="48" spans="2:12">
      <c r="B48" s="100" t="s">
        <v>4</v>
      </c>
      <c r="C48" s="16" t="s">
        <v>38</v>
      </c>
      <c r="D48" s="275" t="s">
        <v>371</v>
      </c>
      <c r="E48" s="125"/>
      <c r="F48" s="125"/>
      <c r="G48" s="125"/>
      <c r="H48" s="125"/>
      <c r="I48" s="125"/>
      <c r="J48" s="272">
        <f t="shared" si="4"/>
        <v>0</v>
      </c>
      <c r="K48" s="266" t="s">
        <v>472</v>
      </c>
    </row>
    <row r="49" spans="2:11">
      <c r="B49" s="100" t="s">
        <v>6</v>
      </c>
      <c r="C49" s="16" t="s">
        <v>39</v>
      </c>
      <c r="D49" s="275" t="s">
        <v>372</v>
      </c>
      <c r="E49" s="125"/>
      <c r="F49" s="125"/>
      <c r="G49" s="125"/>
      <c r="H49" s="125"/>
      <c r="I49" s="125"/>
      <c r="J49" s="272">
        <f t="shared" si="4"/>
        <v>0</v>
      </c>
      <c r="K49" s="266" t="s">
        <v>472</v>
      </c>
    </row>
    <row r="50" spans="2:11">
      <c r="B50" s="100" t="s">
        <v>8</v>
      </c>
      <c r="C50" s="16" t="s">
        <v>40</v>
      </c>
      <c r="D50" s="275" t="s">
        <v>372</v>
      </c>
      <c r="E50" s="125"/>
      <c r="F50" s="125"/>
      <c r="G50" s="125"/>
      <c r="H50" s="125"/>
      <c r="I50" s="125"/>
      <c r="J50" s="272">
        <f t="shared" si="4"/>
        <v>0</v>
      </c>
      <c r="K50" s="273" t="s">
        <v>16</v>
      </c>
    </row>
    <row r="51" spans="2:11">
      <c r="B51" s="100" t="s">
        <v>7</v>
      </c>
      <c r="C51" s="16" t="s">
        <v>41</v>
      </c>
      <c r="D51" s="275" t="s">
        <v>371</v>
      </c>
      <c r="E51" s="125"/>
      <c r="F51" s="125"/>
      <c r="G51" s="125"/>
      <c r="H51" s="125"/>
      <c r="I51" s="125"/>
      <c r="J51" s="272">
        <f t="shared" si="4"/>
        <v>0</v>
      </c>
      <c r="K51" s="266" t="s">
        <v>472</v>
      </c>
    </row>
    <row r="52" spans="2:11" ht="15" hidden="1">
      <c r="B52" s="100" t="s">
        <v>373</v>
      </c>
      <c r="C52" s="276" t="s">
        <v>361</v>
      </c>
      <c r="D52" s="277" t="s">
        <v>361</v>
      </c>
      <c r="E52" s="278"/>
      <c r="F52" s="278"/>
      <c r="G52" s="278"/>
      <c r="H52" s="278"/>
      <c r="I52" s="278"/>
      <c r="J52" s="272">
        <f t="shared" si="4"/>
        <v>0</v>
      </c>
      <c r="K52" s="278"/>
    </row>
    <row r="53" spans="2:11">
      <c r="B53" s="279"/>
      <c r="C53" s="186"/>
      <c r="D53" s="24"/>
      <c r="E53" s="187"/>
      <c r="F53" s="187"/>
      <c r="G53" s="187"/>
      <c r="H53" s="187"/>
      <c r="I53" s="187"/>
      <c r="J53" s="187"/>
      <c r="K53" s="232"/>
    </row>
    <row r="54" spans="2:11">
      <c r="B54" s="280" t="s">
        <v>166</v>
      </c>
      <c r="K54" s="97"/>
    </row>
    <row r="55" spans="2:11">
      <c r="B55" s="100" t="s">
        <v>0</v>
      </c>
      <c r="C55" s="16" t="s">
        <v>42</v>
      </c>
      <c r="D55" s="275" t="s">
        <v>371</v>
      </c>
      <c r="E55" s="125"/>
      <c r="F55" s="125"/>
      <c r="G55" s="125"/>
      <c r="H55" s="125"/>
      <c r="I55" s="125"/>
      <c r="J55" s="272">
        <f t="shared" ref="J55:J57" si="5">SUM(E55:I55)</f>
        <v>0</v>
      </c>
      <c r="K55" s="266" t="s">
        <v>472</v>
      </c>
    </row>
    <row r="56" spans="2:11">
      <c r="B56" s="100" t="s">
        <v>1</v>
      </c>
      <c r="C56" s="16" t="s">
        <v>43</v>
      </c>
      <c r="D56" s="275" t="s">
        <v>372</v>
      </c>
      <c r="E56" s="125"/>
      <c r="F56" s="125"/>
      <c r="G56" s="125"/>
      <c r="H56" s="125"/>
      <c r="I56" s="125"/>
      <c r="J56" s="272">
        <f t="shared" si="5"/>
        <v>0</v>
      </c>
      <c r="K56" s="273" t="s">
        <v>78</v>
      </c>
    </row>
    <row r="57" spans="2:11" ht="15" hidden="1">
      <c r="B57" s="100" t="s">
        <v>373</v>
      </c>
      <c r="C57" s="276" t="s">
        <v>361</v>
      </c>
      <c r="D57" s="277" t="s">
        <v>361</v>
      </c>
      <c r="E57" s="278"/>
      <c r="F57" s="278"/>
      <c r="G57" s="278"/>
      <c r="H57" s="278"/>
      <c r="I57" s="278"/>
      <c r="J57" s="272">
        <f t="shared" si="5"/>
        <v>0</v>
      </c>
      <c r="K57" s="278"/>
    </row>
    <row r="58" spans="2:11">
      <c r="B58" s="279"/>
      <c r="C58" s="186"/>
      <c r="D58" s="24"/>
      <c r="E58" s="187"/>
      <c r="F58" s="187"/>
      <c r="G58" s="187"/>
      <c r="H58" s="187"/>
      <c r="I58" s="187"/>
      <c r="J58" s="187"/>
      <c r="K58" s="232"/>
    </row>
    <row r="59" spans="2:11">
      <c r="B59" s="2" t="s">
        <v>167</v>
      </c>
      <c r="K59" s="97"/>
    </row>
    <row r="60" spans="2:11">
      <c r="B60" s="101" t="s">
        <v>364</v>
      </c>
      <c r="C60" s="3" t="s">
        <v>44</v>
      </c>
      <c r="D60" s="275" t="s">
        <v>372</v>
      </c>
      <c r="E60" s="126"/>
      <c r="F60" s="126"/>
      <c r="G60" s="126"/>
      <c r="H60" s="126"/>
      <c r="I60" s="126"/>
      <c r="J60" s="272">
        <f t="shared" ref="J60:J63" si="6">SUM(E60:I60)</f>
        <v>0</v>
      </c>
      <c r="K60" s="262" t="s">
        <v>472</v>
      </c>
    </row>
    <row r="61" spans="2:11">
      <c r="B61" s="101" t="s">
        <v>2</v>
      </c>
      <c r="C61" s="15" t="s">
        <v>363</v>
      </c>
      <c r="D61" s="275" t="s">
        <v>372</v>
      </c>
      <c r="E61" s="126"/>
      <c r="F61" s="126"/>
      <c r="G61" s="126"/>
      <c r="H61" s="126"/>
      <c r="I61" s="126"/>
      <c r="J61" s="272">
        <f t="shared" si="6"/>
        <v>0</v>
      </c>
      <c r="K61" s="262" t="s">
        <v>472</v>
      </c>
    </row>
    <row r="62" spans="2:11">
      <c r="B62" s="101" t="s">
        <v>4</v>
      </c>
      <c r="C62" s="3" t="s">
        <v>45</v>
      </c>
      <c r="D62" s="275" t="s">
        <v>372</v>
      </c>
      <c r="E62" s="126"/>
      <c r="F62" s="126"/>
      <c r="G62" s="126"/>
      <c r="H62" s="126"/>
      <c r="I62" s="126"/>
      <c r="J62" s="272">
        <f t="shared" si="6"/>
        <v>0</v>
      </c>
      <c r="K62" s="239" t="s">
        <v>19</v>
      </c>
    </row>
    <row r="63" spans="2:11" ht="15" hidden="1">
      <c r="B63" s="100" t="s">
        <v>373</v>
      </c>
      <c r="C63" s="276" t="s">
        <v>361</v>
      </c>
      <c r="D63" s="277" t="s">
        <v>361</v>
      </c>
      <c r="E63" s="278"/>
      <c r="F63" s="278"/>
      <c r="G63" s="278"/>
      <c r="H63" s="278"/>
      <c r="I63" s="278"/>
      <c r="J63" s="272">
        <f t="shared" si="6"/>
        <v>0</v>
      </c>
      <c r="K63" s="278"/>
    </row>
    <row r="64" spans="2:11" ht="15">
      <c r="B64" s="279"/>
      <c r="C64" s="283"/>
      <c r="D64" s="284"/>
      <c r="E64" s="282"/>
      <c r="F64" s="282"/>
      <c r="G64" s="282"/>
      <c r="H64" s="282"/>
      <c r="I64" s="282"/>
      <c r="J64" s="282"/>
      <c r="K64" s="282"/>
    </row>
    <row r="65" spans="1:11" ht="15">
      <c r="B65" s="185"/>
      <c r="C65" s="186"/>
      <c r="D65" s="24"/>
      <c r="E65" s="187"/>
      <c r="F65" s="187"/>
      <c r="G65" s="187"/>
      <c r="H65" s="187"/>
      <c r="I65" s="187"/>
      <c r="J65" s="187"/>
      <c r="K65" s="5"/>
    </row>
    <row r="66" spans="1:11" ht="8.25" customHeight="1">
      <c r="B66" s="185"/>
      <c r="C66" s="186"/>
      <c r="D66" s="24"/>
      <c r="E66" s="187"/>
      <c r="F66" s="187"/>
      <c r="G66" s="187"/>
      <c r="H66" s="187"/>
      <c r="I66" s="187"/>
      <c r="J66" s="187"/>
      <c r="K66" s="5"/>
    </row>
    <row r="67" spans="1:11" ht="15">
      <c r="B67" s="285" t="s">
        <v>488</v>
      </c>
      <c r="C67" s="186"/>
      <c r="D67" s="24"/>
      <c r="E67" s="187"/>
      <c r="F67" s="187"/>
      <c r="G67" s="187"/>
      <c r="H67" s="187"/>
      <c r="I67" s="187"/>
      <c r="J67" s="187"/>
      <c r="K67" s="5"/>
    </row>
    <row r="68" spans="1:11" ht="15">
      <c r="B68" s="185"/>
      <c r="C68" s="186"/>
      <c r="D68" s="24"/>
      <c r="E68" s="187"/>
      <c r="F68" s="187"/>
      <c r="G68" s="187"/>
      <c r="H68" s="187"/>
      <c r="I68" s="187"/>
      <c r="J68" s="187"/>
      <c r="K68" s="5"/>
    </row>
    <row r="69" spans="1:11" ht="15">
      <c r="B69" s="185"/>
      <c r="C69" s="186"/>
      <c r="D69" s="24"/>
      <c r="E69" s="187"/>
      <c r="F69" s="187"/>
      <c r="G69" s="187"/>
      <c r="H69" s="187"/>
      <c r="I69" s="187"/>
      <c r="J69" s="187"/>
      <c r="K69" s="5"/>
    </row>
    <row r="70" spans="1:11">
      <c r="B70" s="185"/>
      <c r="C70" s="186"/>
      <c r="D70" s="24"/>
      <c r="E70" s="187"/>
      <c r="F70" s="187"/>
      <c r="G70" s="187"/>
      <c r="H70" s="187"/>
      <c r="I70" s="187"/>
      <c r="J70" s="187"/>
      <c r="K70" s="232"/>
    </row>
    <row r="71" spans="1:11" ht="42.75" customHeight="1">
      <c r="A71" s="267" t="s">
        <v>482</v>
      </c>
      <c r="C71" s="186"/>
      <c r="D71" s="24"/>
      <c r="E71" s="455" t="s">
        <v>357</v>
      </c>
      <c r="F71" s="455"/>
      <c r="G71" s="455"/>
      <c r="H71" s="455"/>
      <c r="I71" s="455"/>
      <c r="J71" s="98"/>
      <c r="K71" s="456" t="s">
        <v>564</v>
      </c>
    </row>
    <row r="72" spans="1:11" ht="22.5" customHeight="1">
      <c r="A72" s="267"/>
      <c r="C72" s="186"/>
      <c r="D72" s="24"/>
      <c r="E72" s="98"/>
      <c r="F72" s="98"/>
      <c r="G72" s="98"/>
      <c r="H72" s="459" t="s">
        <v>547</v>
      </c>
      <c r="I72" s="461"/>
      <c r="J72" s="98"/>
      <c r="K72" s="457"/>
    </row>
    <row r="73" spans="1:11" ht="53.25" customHeight="1">
      <c r="B73" s="280" t="s">
        <v>164</v>
      </c>
      <c r="C73" s="47"/>
      <c r="D73" s="265" t="s">
        <v>567</v>
      </c>
      <c r="E73" s="263" t="s">
        <v>392</v>
      </c>
      <c r="F73" s="263" t="s">
        <v>393</v>
      </c>
      <c r="G73" s="263" t="s">
        <v>394</v>
      </c>
      <c r="H73" s="286" t="s">
        <v>395</v>
      </c>
      <c r="I73" s="287" t="s">
        <v>396</v>
      </c>
      <c r="J73" s="263" t="s">
        <v>453</v>
      </c>
      <c r="K73" s="458"/>
    </row>
    <row r="74" spans="1:11">
      <c r="B74" s="100" t="s">
        <v>0</v>
      </c>
      <c r="C74" s="274" t="s">
        <v>33</v>
      </c>
      <c r="D74" s="275" t="s">
        <v>371</v>
      </c>
      <c r="E74" s="125"/>
      <c r="F74" s="125"/>
      <c r="G74" s="125"/>
      <c r="H74" s="125"/>
      <c r="I74" s="125"/>
      <c r="J74" s="272">
        <f t="shared" ref="J74:J78" si="7">SUM(E74:I74)</f>
        <v>0</v>
      </c>
      <c r="K74" s="266" t="s">
        <v>472</v>
      </c>
    </row>
    <row r="75" spans="1:11" ht="30">
      <c r="B75" s="100" t="s">
        <v>2</v>
      </c>
      <c r="C75" s="274" t="s">
        <v>367</v>
      </c>
      <c r="D75" s="275" t="s">
        <v>371</v>
      </c>
      <c r="E75" s="125"/>
      <c r="F75" s="125"/>
      <c r="G75" s="125"/>
      <c r="H75" s="125"/>
      <c r="I75" s="125"/>
      <c r="J75" s="272">
        <f t="shared" si="7"/>
        <v>0</v>
      </c>
      <c r="K75" s="273" t="s">
        <v>27</v>
      </c>
    </row>
    <row r="76" spans="1:11">
      <c r="B76" s="100" t="s">
        <v>3</v>
      </c>
      <c r="C76" s="274" t="s">
        <v>46</v>
      </c>
      <c r="D76" s="275" t="s">
        <v>371</v>
      </c>
      <c r="E76" s="125"/>
      <c r="F76" s="125"/>
      <c r="G76" s="125"/>
      <c r="H76" s="125"/>
      <c r="I76" s="125"/>
      <c r="J76" s="272">
        <f t="shared" si="7"/>
        <v>0</v>
      </c>
      <c r="K76" s="273" t="s">
        <v>26</v>
      </c>
    </row>
    <row r="77" spans="1:11">
      <c r="B77" s="100" t="s">
        <v>5</v>
      </c>
      <c r="C77" s="274" t="s">
        <v>47</v>
      </c>
      <c r="D77" s="275" t="s">
        <v>371</v>
      </c>
      <c r="E77" s="125"/>
      <c r="F77" s="125"/>
      <c r="G77" s="125"/>
      <c r="H77" s="125"/>
      <c r="I77" s="125"/>
      <c r="J77" s="272">
        <f t="shared" si="7"/>
        <v>0</v>
      </c>
      <c r="K77" s="273" t="s">
        <v>28</v>
      </c>
    </row>
    <row r="78" spans="1:11" hidden="1">
      <c r="B78" s="100" t="s">
        <v>373</v>
      </c>
      <c r="C78" s="277" t="s">
        <v>361</v>
      </c>
      <c r="D78" s="277" t="s">
        <v>361</v>
      </c>
      <c r="E78" s="278"/>
      <c r="F78" s="278"/>
      <c r="G78" s="278"/>
      <c r="H78" s="278"/>
      <c r="I78" s="278"/>
      <c r="J78" s="272">
        <f t="shared" si="7"/>
        <v>0</v>
      </c>
      <c r="K78" s="273"/>
    </row>
    <row r="79" spans="1:11">
      <c r="C79" s="186"/>
      <c r="D79" s="24"/>
      <c r="E79" s="187"/>
      <c r="F79" s="187"/>
      <c r="G79" s="187"/>
      <c r="H79" s="187"/>
      <c r="I79" s="187"/>
      <c r="J79" s="187"/>
      <c r="K79" s="232"/>
    </row>
    <row r="80" spans="1:11">
      <c r="B80" s="280" t="s">
        <v>165</v>
      </c>
      <c r="C80" s="186"/>
      <c r="D80" s="24"/>
      <c r="E80" s="187"/>
      <c r="F80" s="187"/>
      <c r="G80" s="187"/>
      <c r="H80" s="187"/>
      <c r="I80" s="187"/>
      <c r="J80" s="187"/>
      <c r="K80" s="232"/>
    </row>
    <row r="81" spans="2:11">
      <c r="B81" s="100" t="s">
        <v>0</v>
      </c>
      <c r="C81" s="274" t="s">
        <v>48</v>
      </c>
      <c r="D81" s="275" t="s">
        <v>372</v>
      </c>
      <c r="E81" s="125"/>
      <c r="F81" s="125"/>
      <c r="G81" s="125"/>
      <c r="H81" s="125"/>
      <c r="I81" s="125"/>
      <c r="J81" s="272">
        <f t="shared" ref="J81:J89" si="8">SUM(E81:I81)</f>
        <v>0</v>
      </c>
      <c r="K81" s="266" t="s">
        <v>472</v>
      </c>
    </row>
    <row r="82" spans="2:11">
      <c r="B82" s="100" t="s">
        <v>2</v>
      </c>
      <c r="C82" s="274" t="s">
        <v>49</v>
      </c>
      <c r="D82" s="275" t="s">
        <v>371</v>
      </c>
      <c r="E82" s="125"/>
      <c r="F82" s="125"/>
      <c r="G82" s="125"/>
      <c r="H82" s="125"/>
      <c r="I82" s="125"/>
      <c r="J82" s="272">
        <f t="shared" si="8"/>
        <v>0</v>
      </c>
      <c r="K82" s="266" t="s">
        <v>472</v>
      </c>
    </row>
    <row r="83" spans="2:11">
      <c r="B83" s="100" t="s">
        <v>4</v>
      </c>
      <c r="C83" s="274" t="s">
        <v>368</v>
      </c>
      <c r="D83" s="275" t="s">
        <v>371</v>
      </c>
      <c r="E83" s="125"/>
      <c r="F83" s="125"/>
      <c r="G83" s="125"/>
      <c r="H83" s="125"/>
      <c r="I83" s="125"/>
      <c r="J83" s="272">
        <f t="shared" si="8"/>
        <v>0</v>
      </c>
      <c r="K83" s="266" t="s">
        <v>472</v>
      </c>
    </row>
    <row r="84" spans="2:11">
      <c r="B84" s="100" t="s">
        <v>6</v>
      </c>
      <c r="C84" s="274" t="s">
        <v>37</v>
      </c>
      <c r="D84" s="275" t="s">
        <v>371</v>
      </c>
      <c r="E84" s="125"/>
      <c r="F84" s="125"/>
      <c r="G84" s="125"/>
      <c r="H84" s="125"/>
      <c r="I84" s="125"/>
      <c r="J84" s="272">
        <f t="shared" si="8"/>
        <v>0</v>
      </c>
      <c r="K84" s="266" t="s">
        <v>472</v>
      </c>
    </row>
    <row r="85" spans="2:11">
      <c r="B85" s="100" t="s">
        <v>8</v>
      </c>
      <c r="C85" s="274" t="s">
        <v>38</v>
      </c>
      <c r="D85" s="275" t="s">
        <v>371</v>
      </c>
      <c r="E85" s="125"/>
      <c r="F85" s="125"/>
      <c r="G85" s="125"/>
      <c r="H85" s="125"/>
      <c r="I85" s="125"/>
      <c r="J85" s="272">
        <f t="shared" si="8"/>
        <v>0</v>
      </c>
      <c r="K85" s="266" t="s">
        <v>472</v>
      </c>
    </row>
    <row r="86" spans="2:11">
      <c r="B86" s="100" t="s">
        <v>9</v>
      </c>
      <c r="C86" s="274" t="s">
        <v>39</v>
      </c>
      <c r="D86" s="275" t="s">
        <v>371</v>
      </c>
      <c r="E86" s="125"/>
      <c r="F86" s="125"/>
      <c r="G86" s="125"/>
      <c r="H86" s="125"/>
      <c r="I86" s="125"/>
      <c r="J86" s="272">
        <f t="shared" si="8"/>
        <v>0</v>
      </c>
      <c r="K86" s="266" t="s">
        <v>472</v>
      </c>
    </row>
    <row r="87" spans="2:11">
      <c r="B87" s="100" t="s">
        <v>10</v>
      </c>
      <c r="C87" s="274" t="s">
        <v>40</v>
      </c>
      <c r="D87" s="275" t="s">
        <v>372</v>
      </c>
      <c r="E87" s="125"/>
      <c r="F87" s="125"/>
      <c r="G87" s="125"/>
      <c r="H87" s="125"/>
      <c r="I87" s="125"/>
      <c r="J87" s="272">
        <f t="shared" si="8"/>
        <v>0</v>
      </c>
      <c r="K87" s="273" t="s">
        <v>16</v>
      </c>
    </row>
    <row r="88" spans="2:11">
      <c r="B88" s="100" t="s">
        <v>369</v>
      </c>
      <c r="C88" s="274" t="s">
        <v>50</v>
      </c>
      <c r="D88" s="275" t="s">
        <v>371</v>
      </c>
      <c r="E88" s="125"/>
      <c r="F88" s="125"/>
      <c r="G88" s="125"/>
      <c r="H88" s="125"/>
      <c r="I88" s="125"/>
      <c r="J88" s="272">
        <f t="shared" si="8"/>
        <v>0</v>
      </c>
      <c r="K88" s="273" t="s">
        <v>85</v>
      </c>
    </row>
    <row r="89" spans="2:11" hidden="1">
      <c r="B89" s="100" t="s">
        <v>373</v>
      </c>
      <c r="C89" s="277" t="s">
        <v>361</v>
      </c>
      <c r="D89" s="277" t="s">
        <v>361</v>
      </c>
      <c r="E89" s="278"/>
      <c r="F89" s="278"/>
      <c r="G89" s="278"/>
      <c r="H89" s="278"/>
      <c r="I89" s="278"/>
      <c r="J89" s="272">
        <f t="shared" si="8"/>
        <v>0</v>
      </c>
      <c r="K89" s="273"/>
    </row>
    <row r="90" spans="2:11">
      <c r="B90" s="279"/>
      <c r="C90" s="186"/>
      <c r="D90" s="24"/>
      <c r="E90" s="187"/>
      <c r="F90" s="187"/>
      <c r="G90" s="187"/>
      <c r="H90" s="187"/>
      <c r="I90" s="187"/>
      <c r="J90" s="187"/>
      <c r="K90" s="232"/>
    </row>
    <row r="91" spans="2:11">
      <c r="B91" s="2" t="s">
        <v>166</v>
      </c>
      <c r="C91" s="186"/>
      <c r="D91" s="24"/>
      <c r="E91" s="187"/>
      <c r="F91" s="187"/>
      <c r="G91" s="187"/>
      <c r="H91" s="187"/>
      <c r="I91" s="187"/>
      <c r="J91" s="187"/>
      <c r="K91" s="232"/>
    </row>
    <row r="92" spans="2:11">
      <c r="B92" s="100" t="s">
        <v>0</v>
      </c>
      <c r="C92" s="274" t="s">
        <v>42</v>
      </c>
      <c r="D92" s="275" t="s">
        <v>371</v>
      </c>
      <c r="E92" s="125"/>
      <c r="F92" s="125"/>
      <c r="G92" s="125"/>
      <c r="H92" s="125"/>
      <c r="I92" s="125"/>
      <c r="J92" s="272">
        <f t="shared" ref="J92:J96" si="9">SUM(E92:I92)</f>
        <v>0</v>
      </c>
      <c r="K92" s="266" t="s">
        <v>472</v>
      </c>
    </row>
    <row r="93" spans="2:11">
      <c r="B93" s="100" t="s">
        <v>1</v>
      </c>
      <c r="C93" s="274" t="s">
        <v>43</v>
      </c>
      <c r="D93" s="275" t="s">
        <v>549</v>
      </c>
      <c r="E93" s="125"/>
      <c r="F93" s="125"/>
      <c r="G93" s="125"/>
      <c r="H93" s="125"/>
      <c r="I93" s="125"/>
      <c r="J93" s="272">
        <f t="shared" si="9"/>
        <v>0</v>
      </c>
      <c r="K93" s="273" t="s">
        <v>78</v>
      </c>
    </row>
    <row r="94" spans="2:11">
      <c r="B94" s="100" t="s">
        <v>3</v>
      </c>
      <c r="C94" s="274" t="s">
        <v>51</v>
      </c>
      <c r="D94" s="275" t="s">
        <v>371</v>
      </c>
      <c r="E94" s="125"/>
      <c r="F94" s="125"/>
      <c r="G94" s="125"/>
      <c r="H94" s="125"/>
      <c r="I94" s="125"/>
      <c r="J94" s="272">
        <f t="shared" si="9"/>
        <v>0</v>
      </c>
      <c r="K94" s="273" t="s">
        <v>78</v>
      </c>
    </row>
    <row r="95" spans="2:11">
      <c r="B95" s="100" t="s">
        <v>5</v>
      </c>
      <c r="C95" s="274" t="s">
        <v>52</v>
      </c>
      <c r="D95" s="275" t="s">
        <v>372</v>
      </c>
      <c r="E95" s="125"/>
      <c r="F95" s="125"/>
      <c r="G95" s="125"/>
      <c r="H95" s="125"/>
      <c r="I95" s="125"/>
      <c r="J95" s="272">
        <f t="shared" si="9"/>
        <v>0</v>
      </c>
      <c r="K95" s="273" t="s">
        <v>80</v>
      </c>
    </row>
    <row r="96" spans="2:11" hidden="1">
      <c r="B96" s="100" t="s">
        <v>373</v>
      </c>
      <c r="C96" s="277" t="s">
        <v>361</v>
      </c>
      <c r="D96" s="277" t="s">
        <v>361</v>
      </c>
      <c r="E96" s="278"/>
      <c r="F96" s="278"/>
      <c r="G96" s="278"/>
      <c r="H96" s="278"/>
      <c r="I96" s="278"/>
      <c r="J96" s="272">
        <f t="shared" si="9"/>
        <v>0</v>
      </c>
      <c r="K96" s="273"/>
    </row>
    <row r="97" spans="2:11">
      <c r="B97" s="279"/>
      <c r="C97" s="186"/>
      <c r="D97" s="24"/>
      <c r="E97" s="187"/>
      <c r="F97" s="187"/>
      <c r="G97" s="187"/>
      <c r="H97" s="187"/>
      <c r="I97" s="187"/>
      <c r="J97" s="187"/>
      <c r="K97" s="232"/>
    </row>
    <row r="98" spans="2:11">
      <c r="B98" s="2" t="s">
        <v>167</v>
      </c>
      <c r="C98" s="186"/>
      <c r="D98" s="24"/>
      <c r="E98" s="187"/>
      <c r="F98" s="187"/>
      <c r="G98" s="187"/>
      <c r="H98" s="187"/>
      <c r="I98" s="187"/>
      <c r="J98" s="187"/>
      <c r="K98" s="232"/>
    </row>
    <row r="99" spans="2:11" ht="16.5" customHeight="1">
      <c r="B99" s="101" t="s">
        <v>364</v>
      </c>
      <c r="C99" s="15" t="s">
        <v>53</v>
      </c>
      <c r="D99" s="275" t="s">
        <v>371</v>
      </c>
      <c r="E99" s="126"/>
      <c r="F99" s="126"/>
      <c r="G99" s="126"/>
      <c r="H99" s="126"/>
      <c r="I99" s="126"/>
      <c r="J99" s="272">
        <f t="shared" ref="J99:J102" si="10">SUM(E99:I99)</f>
        <v>0</v>
      </c>
      <c r="K99" s="262" t="s">
        <v>472</v>
      </c>
    </row>
    <row r="100" spans="2:11">
      <c r="B100" s="101" t="s">
        <v>2</v>
      </c>
      <c r="C100" s="15" t="s">
        <v>363</v>
      </c>
      <c r="D100" s="275" t="s">
        <v>371</v>
      </c>
      <c r="E100" s="126"/>
      <c r="F100" s="126"/>
      <c r="G100" s="126"/>
      <c r="H100" s="126"/>
      <c r="I100" s="126"/>
      <c r="J100" s="272">
        <f t="shared" si="10"/>
        <v>0</v>
      </c>
      <c r="K100" s="262" t="s">
        <v>472</v>
      </c>
    </row>
    <row r="101" spans="2:11">
      <c r="B101" s="101" t="s">
        <v>4</v>
      </c>
      <c r="C101" s="15" t="s">
        <v>45</v>
      </c>
      <c r="D101" s="275" t="s">
        <v>371</v>
      </c>
      <c r="E101" s="126"/>
      <c r="F101" s="126"/>
      <c r="G101" s="126"/>
      <c r="H101" s="126"/>
      <c r="I101" s="126"/>
      <c r="J101" s="272">
        <f t="shared" si="10"/>
        <v>0</v>
      </c>
      <c r="K101" s="239" t="s">
        <v>19</v>
      </c>
    </row>
    <row r="102" spans="2:11" hidden="1">
      <c r="B102" s="100" t="s">
        <v>373</v>
      </c>
      <c r="C102" s="277" t="s">
        <v>361</v>
      </c>
      <c r="D102" s="277" t="s">
        <v>361</v>
      </c>
      <c r="E102" s="278"/>
      <c r="F102" s="278"/>
      <c r="G102" s="278"/>
      <c r="H102" s="278"/>
      <c r="I102" s="278"/>
      <c r="J102" s="272">
        <f t="shared" si="10"/>
        <v>0</v>
      </c>
      <c r="K102" s="273"/>
    </row>
    <row r="103" spans="2:11">
      <c r="B103" s="279"/>
      <c r="C103" s="186"/>
      <c r="D103" s="6"/>
      <c r="E103" s="282"/>
      <c r="F103" s="282"/>
      <c r="G103" s="282"/>
      <c r="H103" s="282"/>
      <c r="I103" s="282"/>
      <c r="J103" s="282"/>
      <c r="K103" s="232"/>
    </row>
    <row r="104" spans="2:11">
      <c r="B104" s="14" t="s">
        <v>168</v>
      </c>
      <c r="C104" s="43"/>
      <c r="K104" s="97"/>
    </row>
    <row r="105" spans="2:11">
      <c r="B105" s="100" t="s">
        <v>0</v>
      </c>
      <c r="C105" s="274" t="s">
        <v>54</v>
      </c>
      <c r="D105" s="275" t="s">
        <v>372</v>
      </c>
      <c r="E105" s="125"/>
      <c r="F105" s="125"/>
      <c r="G105" s="125"/>
      <c r="H105" s="125"/>
      <c r="I105" s="125"/>
      <c r="J105" s="272">
        <f t="shared" ref="J105:J109" si="11">SUM(E105:I105)</f>
        <v>0</v>
      </c>
      <c r="K105" s="273" t="s">
        <v>82</v>
      </c>
    </row>
    <row r="106" spans="2:11">
      <c r="B106" s="100" t="s">
        <v>1</v>
      </c>
      <c r="C106" s="274" t="s">
        <v>55</v>
      </c>
      <c r="D106" s="275" t="s">
        <v>371</v>
      </c>
      <c r="E106" s="125"/>
      <c r="F106" s="125"/>
      <c r="G106" s="125"/>
      <c r="H106" s="125"/>
      <c r="I106" s="125"/>
      <c r="J106" s="272">
        <f t="shared" si="11"/>
        <v>0</v>
      </c>
      <c r="K106" s="273" t="s">
        <v>80</v>
      </c>
    </row>
    <row r="107" spans="2:11">
      <c r="B107" s="100" t="s">
        <v>3</v>
      </c>
      <c r="C107" s="274" t="s">
        <v>56</v>
      </c>
      <c r="D107" s="275" t="s">
        <v>371</v>
      </c>
      <c r="E107" s="125"/>
      <c r="F107" s="125"/>
      <c r="G107" s="125"/>
      <c r="H107" s="125"/>
      <c r="I107" s="125"/>
      <c r="J107" s="272">
        <f t="shared" si="11"/>
        <v>0</v>
      </c>
      <c r="K107" s="266" t="s">
        <v>472</v>
      </c>
    </row>
    <row r="108" spans="2:11">
      <c r="B108" s="100" t="s">
        <v>5</v>
      </c>
      <c r="C108" s="274" t="s">
        <v>57</v>
      </c>
      <c r="D108" s="275" t="s">
        <v>371</v>
      </c>
      <c r="E108" s="125"/>
      <c r="F108" s="125"/>
      <c r="G108" s="125"/>
      <c r="H108" s="125"/>
      <c r="I108" s="125"/>
      <c r="J108" s="272">
        <f t="shared" si="11"/>
        <v>0</v>
      </c>
      <c r="K108" s="273" t="s">
        <v>76</v>
      </c>
    </row>
    <row r="109" spans="2:11" hidden="1">
      <c r="B109" s="100" t="s">
        <v>373</v>
      </c>
      <c r="C109" s="277" t="s">
        <v>361</v>
      </c>
      <c r="D109" s="277" t="s">
        <v>361</v>
      </c>
      <c r="E109" s="278"/>
      <c r="F109" s="278"/>
      <c r="G109" s="278"/>
      <c r="H109" s="278"/>
      <c r="I109" s="278"/>
      <c r="J109" s="272">
        <f t="shared" si="11"/>
        <v>0</v>
      </c>
      <c r="K109" s="273"/>
    </row>
    <row r="110" spans="2:11">
      <c r="B110" s="260"/>
      <c r="C110" s="43"/>
      <c r="K110" s="97"/>
    </row>
    <row r="111" spans="2:11">
      <c r="B111" s="14" t="s">
        <v>171</v>
      </c>
      <c r="C111" s="43"/>
      <c r="K111" s="97"/>
    </row>
    <row r="112" spans="2:11">
      <c r="B112" s="100" t="s">
        <v>0</v>
      </c>
      <c r="C112" s="274" t="s">
        <v>58</v>
      </c>
      <c r="D112" s="275" t="s">
        <v>372</v>
      </c>
      <c r="E112" s="125"/>
      <c r="F112" s="125"/>
      <c r="G112" s="125"/>
      <c r="H112" s="125"/>
      <c r="I112" s="125"/>
      <c r="J112" s="272">
        <f>SUM(E112:I112)</f>
        <v>0</v>
      </c>
      <c r="K112" s="273" t="s">
        <v>29</v>
      </c>
    </row>
    <row r="113" spans="2:11">
      <c r="B113" s="100" t="s">
        <v>1</v>
      </c>
      <c r="C113" s="274" t="s">
        <v>59</v>
      </c>
      <c r="D113" s="275" t="s">
        <v>371</v>
      </c>
      <c r="E113" s="125"/>
      <c r="F113" s="125"/>
      <c r="G113" s="125"/>
      <c r="H113" s="125"/>
      <c r="I113" s="125"/>
      <c r="J113" s="272">
        <f t="shared" ref="J113:J115" si="12">SUM(E113:I113)</f>
        <v>0</v>
      </c>
      <c r="K113" s="273" t="s">
        <v>29</v>
      </c>
    </row>
    <row r="114" spans="2:11">
      <c r="B114" s="100" t="s">
        <v>3</v>
      </c>
      <c r="C114" s="274" t="s">
        <v>60</v>
      </c>
      <c r="D114" s="275" t="s">
        <v>372</v>
      </c>
      <c r="E114" s="125"/>
      <c r="F114" s="125"/>
      <c r="G114" s="125"/>
      <c r="H114" s="125"/>
      <c r="I114" s="125"/>
      <c r="J114" s="272">
        <f t="shared" si="12"/>
        <v>0</v>
      </c>
      <c r="K114" s="273" t="s">
        <v>29</v>
      </c>
    </row>
    <row r="115" spans="2:11" hidden="1">
      <c r="B115" s="100" t="s">
        <v>373</v>
      </c>
      <c r="C115" s="277" t="s">
        <v>361</v>
      </c>
      <c r="D115" s="277" t="s">
        <v>361</v>
      </c>
      <c r="E115" s="278"/>
      <c r="F115" s="278"/>
      <c r="G115" s="278"/>
      <c r="H115" s="278"/>
      <c r="I115" s="278"/>
      <c r="J115" s="272">
        <f t="shared" si="12"/>
        <v>0</v>
      </c>
      <c r="K115" s="273"/>
    </row>
    <row r="116" spans="2:11">
      <c r="B116" s="5"/>
      <c r="C116" s="43"/>
      <c r="K116" s="97"/>
    </row>
    <row r="117" spans="2:11">
      <c r="B117" s="14" t="s">
        <v>169</v>
      </c>
      <c r="C117" s="43"/>
      <c r="K117" s="97"/>
    </row>
    <row r="118" spans="2:11">
      <c r="B118" s="100" t="s">
        <v>0</v>
      </c>
      <c r="C118" s="274" t="s">
        <v>61</v>
      </c>
      <c r="D118" s="275" t="s">
        <v>372</v>
      </c>
      <c r="E118" s="125"/>
      <c r="F118" s="125"/>
      <c r="G118" s="125"/>
      <c r="H118" s="125"/>
      <c r="I118" s="125"/>
      <c r="J118" s="272">
        <f t="shared" ref="J118:J122" si="13">SUM(E118:I118)</f>
        <v>0</v>
      </c>
      <c r="K118" s="273" t="s">
        <v>92</v>
      </c>
    </row>
    <row r="119" spans="2:11">
      <c r="B119" s="100" t="s">
        <v>1</v>
      </c>
      <c r="C119" s="274" t="s">
        <v>62</v>
      </c>
      <c r="D119" s="275" t="s">
        <v>371</v>
      </c>
      <c r="E119" s="125"/>
      <c r="F119" s="125"/>
      <c r="G119" s="125"/>
      <c r="H119" s="125"/>
      <c r="I119" s="125"/>
      <c r="J119" s="272">
        <f t="shared" si="13"/>
        <v>0</v>
      </c>
      <c r="K119" s="273" t="s">
        <v>92</v>
      </c>
    </row>
    <row r="120" spans="2:11">
      <c r="B120" s="100" t="s">
        <v>3</v>
      </c>
      <c r="C120" s="274" t="s">
        <v>63</v>
      </c>
      <c r="D120" s="275" t="s">
        <v>372</v>
      </c>
      <c r="E120" s="125"/>
      <c r="F120" s="125"/>
      <c r="G120" s="125"/>
      <c r="H120" s="125"/>
      <c r="I120" s="125"/>
      <c r="J120" s="272">
        <f t="shared" si="13"/>
        <v>0</v>
      </c>
      <c r="K120" s="273" t="s">
        <v>92</v>
      </c>
    </row>
    <row r="121" spans="2:11">
      <c r="B121" s="100" t="s">
        <v>5</v>
      </c>
      <c r="C121" s="274" t="s">
        <v>64</v>
      </c>
      <c r="D121" s="275" t="s">
        <v>372</v>
      </c>
      <c r="E121" s="125"/>
      <c r="F121" s="125"/>
      <c r="G121" s="125"/>
      <c r="H121" s="125"/>
      <c r="I121" s="125"/>
      <c r="J121" s="272">
        <f t="shared" si="13"/>
        <v>0</v>
      </c>
      <c r="K121" s="273" t="s">
        <v>92</v>
      </c>
    </row>
    <row r="122" spans="2:11" hidden="1">
      <c r="B122" s="100" t="s">
        <v>373</v>
      </c>
      <c r="C122" s="277" t="s">
        <v>361</v>
      </c>
      <c r="D122" s="277" t="s">
        <v>361</v>
      </c>
      <c r="E122" s="278"/>
      <c r="F122" s="278"/>
      <c r="G122" s="278"/>
      <c r="H122" s="278"/>
      <c r="I122" s="278"/>
      <c r="J122" s="272">
        <f t="shared" si="13"/>
        <v>0</v>
      </c>
      <c r="K122" s="273"/>
    </row>
    <row r="123" spans="2:11">
      <c r="B123" s="279"/>
      <c r="C123" s="284"/>
      <c r="D123" s="284"/>
      <c r="E123" s="282"/>
      <c r="F123" s="282"/>
      <c r="G123" s="282"/>
      <c r="H123" s="282"/>
      <c r="I123" s="282"/>
      <c r="J123" s="282"/>
      <c r="K123" s="232"/>
    </row>
    <row r="124" spans="2:11" ht="15">
      <c r="B124" s="185"/>
      <c r="K124" s="5"/>
    </row>
    <row r="125" spans="2:11" ht="7.5" customHeight="1">
      <c r="B125" s="185"/>
      <c r="K125" s="5"/>
    </row>
    <row r="126" spans="2:11" ht="17.25" customHeight="1">
      <c r="B126" s="285" t="s">
        <v>489</v>
      </c>
      <c r="H126" s="459" t="s">
        <v>547</v>
      </c>
      <c r="I126" s="461"/>
      <c r="K126" s="5"/>
    </row>
    <row r="127" spans="2:11">
      <c r="C127" s="449" t="s">
        <v>572</v>
      </c>
      <c r="D127" s="450"/>
      <c r="E127" s="273" t="s">
        <v>392</v>
      </c>
      <c r="F127" s="273" t="s">
        <v>393</v>
      </c>
      <c r="G127" s="273" t="s">
        <v>394</v>
      </c>
      <c r="H127" s="273" t="s">
        <v>395</v>
      </c>
      <c r="I127" s="273" t="s">
        <v>396</v>
      </c>
      <c r="K127" s="5"/>
    </row>
    <row r="128" spans="2:11" ht="15.75" customHeight="1">
      <c r="B128" s="279"/>
      <c r="C128" s="449" t="s">
        <v>568</v>
      </c>
      <c r="D128" s="449"/>
      <c r="E128" s="273">
        <f>SUM(E32:E35,E39:E42,E46:E51,E55:E56,E60:E62,E74:E77,E81:E88,E92:E95,E99:E101,E105:E108,E112:E114,E118:E121)</f>
        <v>0</v>
      </c>
      <c r="F128" s="273">
        <f>SUM(F32:F35,F39:F42,F46:F51,F55:F56,F60:F62,F74:F77,F81:F88,F92:F95,F99:F101,F105:F108,F112:F114,F118:F121)</f>
        <v>0</v>
      </c>
      <c r="G128" s="273">
        <f>SUM(G32:G35,G39:G42,G46:G51,G55:G56,G60:G62,G74:G77,G81:G88,G92:G95,G99:G101,G105:G108,G112:G114,G118:G121)</f>
        <v>0</v>
      </c>
      <c r="H128" s="273">
        <f>SUM(H32:H35,H39:H42,H46:H51,H55:H56,H60:H62,H74:H77,H81:H88,H92:H95,H99:H101,H105:H108,H112:H114,H118:H121)</f>
        <v>0</v>
      </c>
      <c r="I128" s="273">
        <f>SUM(I32:I35,I39:I42,I46:I51,I55:I56,I60:I62,I74:I77,I81:I88,I92:I95,I99:I101,I105:I108,I112:I114,I118:I121)</f>
        <v>0</v>
      </c>
      <c r="J128" s="232"/>
      <c r="K128" s="232"/>
    </row>
    <row r="129" spans="1:11">
      <c r="B129" s="279"/>
      <c r="E129" s="1"/>
      <c r="F129" s="1"/>
      <c r="G129" s="1"/>
      <c r="H129" s="1"/>
      <c r="I129" s="1"/>
      <c r="J129" s="232"/>
      <c r="K129" s="232"/>
    </row>
    <row r="130" spans="1:11">
      <c r="B130" s="5"/>
    </row>
    <row r="131" spans="1:11">
      <c r="B131" s="5"/>
    </row>
    <row r="132" spans="1:11">
      <c r="B132" s="5"/>
    </row>
    <row r="133" spans="1:11" ht="18">
      <c r="A133" s="36" t="s">
        <v>483</v>
      </c>
      <c r="C133" s="36"/>
      <c r="E133" s="1"/>
      <c r="F133" s="1"/>
      <c r="G133" s="1"/>
      <c r="H133" s="1"/>
      <c r="I133" s="1"/>
    </row>
    <row r="134" spans="1:11" ht="18">
      <c r="B134" s="36"/>
      <c r="C134" s="36"/>
      <c r="E134" s="1"/>
      <c r="F134" s="1"/>
      <c r="G134" s="1"/>
      <c r="H134" s="1"/>
      <c r="I134" s="1"/>
    </row>
    <row r="135" spans="1:11" ht="18" customHeight="1">
      <c r="B135" s="51"/>
      <c r="C135" s="36"/>
      <c r="E135" s="1"/>
      <c r="F135" s="1"/>
      <c r="G135" s="1"/>
      <c r="H135" s="1"/>
      <c r="I135" s="1"/>
      <c r="J135" s="453" t="s">
        <v>577</v>
      </c>
      <c r="K135" s="453" t="s">
        <v>574</v>
      </c>
    </row>
    <row r="136" spans="1:11" ht="45" customHeight="1">
      <c r="B136" s="37"/>
      <c r="C136" s="37"/>
      <c r="D136" s="446" t="s">
        <v>575</v>
      </c>
      <c r="E136" s="446" t="s">
        <v>576</v>
      </c>
      <c r="F136" s="446"/>
      <c r="G136" s="453" t="s">
        <v>573</v>
      </c>
      <c r="H136" s="453"/>
      <c r="I136" s="453"/>
      <c r="J136" s="453"/>
      <c r="K136" s="453"/>
    </row>
    <row r="137" spans="1:11" ht="54" customHeight="1">
      <c r="B137" s="437" t="s">
        <v>376</v>
      </c>
      <c r="C137" s="437"/>
      <c r="D137" s="447"/>
      <c r="E137" s="447"/>
      <c r="F137" s="447"/>
      <c r="G137" s="454"/>
      <c r="H137" s="454"/>
      <c r="I137" s="454"/>
      <c r="J137" s="453"/>
      <c r="K137" s="453"/>
    </row>
    <row r="138" spans="1:11">
      <c r="B138" s="100" t="s">
        <v>27</v>
      </c>
      <c r="C138" s="16" t="s">
        <v>23</v>
      </c>
      <c r="D138" s="298">
        <f>ROUND((SUMIF($K$32:$K$62,B138,$J$32:$J$62))*1,0)</f>
        <v>0</v>
      </c>
      <c r="E138" s="432">
        <f>ROUND((SUMIF($K$74:$K$122,B138,$J$74:$J$122))*1,0)</f>
        <v>0</v>
      </c>
      <c r="F138" s="433"/>
      <c r="G138" s="434">
        <f>SUM(D138:F138)</f>
        <v>0</v>
      </c>
      <c r="H138" s="435"/>
      <c r="I138" s="436"/>
      <c r="J138" s="299" t="str">
        <f>IF(G138&gt;=75,"Yes","No")</f>
        <v>No</v>
      </c>
      <c r="K138" s="197" t="str">
        <f>IF(G138&gt;0,MAX(0,75-G138),"")</f>
        <v/>
      </c>
    </row>
    <row r="139" spans="1:11">
      <c r="B139" s="100" t="s">
        <v>26</v>
      </c>
      <c r="C139" s="16" t="s">
        <v>24</v>
      </c>
      <c r="D139" s="298">
        <f t="shared" ref="D139:D140" si="14">ROUND((SUMIF($K$32:$K$62,B139,$J$32:$J$62))*1,0)</f>
        <v>0</v>
      </c>
      <c r="E139" s="432">
        <f>ROUND((SUMIF($K$74:$K$122,B139,$J$74:$J$122))*1,0)</f>
        <v>0</v>
      </c>
      <c r="F139" s="433"/>
      <c r="G139" s="434">
        <f t="shared" ref="G139:G140" si="15">SUM(D139:F139)</f>
        <v>0</v>
      </c>
      <c r="H139" s="435"/>
      <c r="I139" s="436"/>
      <c r="J139" s="299" t="str">
        <f t="shared" ref="J139:J140" si="16">IF(G139&gt;=75,"Yes","No")</f>
        <v>No</v>
      </c>
      <c r="K139" s="197" t="str">
        <f t="shared" ref="K139:K140" si="17">IF(G139&gt;0,MAX(0,75-G139),"")</f>
        <v/>
      </c>
    </row>
    <row r="140" spans="1:11">
      <c r="B140" s="100" t="s">
        <v>28</v>
      </c>
      <c r="C140" s="16" t="s">
        <v>25</v>
      </c>
      <c r="D140" s="298">
        <f t="shared" si="14"/>
        <v>0</v>
      </c>
      <c r="E140" s="432">
        <f>ROUND((SUMIF($K$74:$K$122,B140,$J$74:$J$122))*1,0)</f>
        <v>0</v>
      </c>
      <c r="F140" s="433"/>
      <c r="G140" s="434">
        <f t="shared" si="15"/>
        <v>0</v>
      </c>
      <c r="H140" s="435"/>
      <c r="I140" s="436"/>
      <c r="J140" s="299" t="str">
        <f t="shared" si="16"/>
        <v>No</v>
      </c>
      <c r="K140" s="197" t="str">
        <f t="shared" si="17"/>
        <v/>
      </c>
    </row>
    <row r="141" spans="1:11">
      <c r="B141" s="7"/>
      <c r="E141" s="97"/>
      <c r="F141" s="97"/>
      <c r="G141" s="2"/>
      <c r="H141" s="2"/>
      <c r="I141" s="2"/>
      <c r="J141" s="299"/>
      <c r="K141" s="97"/>
    </row>
    <row r="142" spans="1:11" ht="15.75" customHeight="1">
      <c r="B142" s="437" t="s">
        <v>377</v>
      </c>
      <c r="C142" s="437"/>
      <c r="D142" s="288"/>
      <c r="E142" s="263"/>
      <c r="F142" s="263"/>
      <c r="G142" s="289"/>
      <c r="H142" s="289"/>
      <c r="I142" s="289"/>
      <c r="J142" s="300"/>
      <c r="K142" s="263"/>
    </row>
    <row r="143" spans="1:11">
      <c r="B143" s="100" t="s">
        <v>14</v>
      </c>
      <c r="C143" s="16" t="s">
        <v>551</v>
      </c>
      <c r="D143" s="298">
        <f t="shared" ref="D143:D145" si="18">ROUND((SUMIF($K$32:$K$62,B143,$J$32:$J$62))*1,0)</f>
        <v>0</v>
      </c>
      <c r="E143" s="432">
        <f>ROUND((SUMIF($K$74:$K$122,B143,$J$74:$J$122))*1,0)</f>
        <v>0</v>
      </c>
      <c r="F143" s="433"/>
      <c r="G143" s="434">
        <f t="shared" ref="G143:G145" si="19">SUM(D143:F143)</f>
        <v>0</v>
      </c>
      <c r="H143" s="435"/>
      <c r="I143" s="436"/>
      <c r="J143" s="299" t="str">
        <f t="shared" ref="J143:J145" si="20">IF(G143&gt;=75,"Yes","No")</f>
        <v>No</v>
      </c>
      <c r="K143" s="197" t="str">
        <f t="shared" ref="K143:K145" si="21">IF(G143&gt;0,MAX(0,75-G143),"")</f>
        <v/>
      </c>
    </row>
    <row r="144" spans="1:11">
      <c r="B144" s="100" t="s">
        <v>15</v>
      </c>
      <c r="C144" s="16" t="s">
        <v>12</v>
      </c>
      <c r="D144" s="298">
        <f t="shared" si="18"/>
        <v>0</v>
      </c>
      <c r="E144" s="432">
        <f>ROUND((SUMIF($K$74:$K$122,B144,$J$74:$J$122))*1,0)</f>
        <v>0</v>
      </c>
      <c r="F144" s="433"/>
      <c r="G144" s="434">
        <f t="shared" si="19"/>
        <v>0</v>
      </c>
      <c r="H144" s="435"/>
      <c r="I144" s="436"/>
      <c r="J144" s="299" t="str">
        <f t="shared" si="20"/>
        <v>No</v>
      </c>
      <c r="K144" s="197" t="str">
        <f t="shared" si="21"/>
        <v/>
      </c>
    </row>
    <row r="145" spans="2:11">
      <c r="B145" s="100" t="s">
        <v>16</v>
      </c>
      <c r="C145" s="16" t="s">
        <v>13</v>
      </c>
      <c r="D145" s="298">
        <f t="shared" si="18"/>
        <v>0</v>
      </c>
      <c r="E145" s="432">
        <f>ROUND((SUMIF($K$74:$K$122,B145,$J$74:$J$122))*1,0)</f>
        <v>0</v>
      </c>
      <c r="F145" s="433"/>
      <c r="G145" s="434">
        <f t="shared" si="19"/>
        <v>0</v>
      </c>
      <c r="H145" s="435"/>
      <c r="I145" s="436"/>
      <c r="J145" s="299" t="str">
        <f t="shared" si="20"/>
        <v>No</v>
      </c>
      <c r="K145" s="197" t="str">
        <f t="shared" si="21"/>
        <v/>
      </c>
    </row>
    <row r="146" spans="2:11">
      <c r="B146" s="121"/>
      <c r="C146" s="6"/>
      <c r="D146" s="121"/>
      <c r="E146" s="97"/>
      <c r="F146" s="97"/>
      <c r="G146" s="2"/>
      <c r="H146" s="2"/>
      <c r="I146" s="2"/>
      <c r="J146" s="299"/>
      <c r="K146" s="97"/>
    </row>
    <row r="147" spans="2:11" ht="15.75" customHeight="1">
      <c r="B147" s="437" t="s">
        <v>378</v>
      </c>
      <c r="C147" s="437"/>
      <c r="D147" s="288"/>
      <c r="E147" s="263"/>
      <c r="F147" s="263"/>
      <c r="G147" s="289"/>
      <c r="H147" s="289"/>
      <c r="I147" s="289"/>
      <c r="J147" s="300"/>
      <c r="K147" s="263"/>
    </row>
    <row r="148" spans="2:11">
      <c r="B148" s="100" t="s">
        <v>17</v>
      </c>
      <c r="C148" s="16" t="s">
        <v>21</v>
      </c>
      <c r="D148" s="298">
        <f t="shared" ref="D148:D150" si="22">ROUND((SUMIF($K$32:$K$62,B148,$J$32:$J$62))*1,0)</f>
        <v>0</v>
      </c>
      <c r="E148" s="432">
        <f t="shared" ref="E148:E150" si="23">ROUND((SUMIF($K$74:$K$122,B148,$J$74:$J$122))*1,0)</f>
        <v>0</v>
      </c>
      <c r="F148" s="433"/>
      <c r="G148" s="434">
        <f t="shared" ref="G148:G150" si="24">SUM(D148:F148)</f>
        <v>0</v>
      </c>
      <c r="H148" s="435"/>
      <c r="I148" s="436"/>
      <c r="J148" s="299" t="str">
        <f t="shared" ref="J148:J150" si="25">IF(G148&gt;=75,"Yes","No")</f>
        <v>No</v>
      </c>
      <c r="K148" s="197" t="str">
        <f t="shared" ref="K148:K150" si="26">IF(G148&gt;0,MAX(0,75-G148),"")</f>
        <v/>
      </c>
    </row>
    <row r="149" spans="2:11">
      <c r="B149" s="100" t="s">
        <v>18</v>
      </c>
      <c r="C149" s="16" t="s">
        <v>22</v>
      </c>
      <c r="D149" s="298">
        <f t="shared" si="22"/>
        <v>0</v>
      </c>
      <c r="E149" s="432">
        <f t="shared" si="23"/>
        <v>0</v>
      </c>
      <c r="F149" s="433"/>
      <c r="G149" s="434">
        <f t="shared" si="24"/>
        <v>0</v>
      </c>
      <c r="H149" s="435"/>
      <c r="I149" s="436"/>
      <c r="J149" s="299" t="str">
        <f t="shared" si="25"/>
        <v>No</v>
      </c>
      <c r="K149" s="197" t="str">
        <f t="shared" si="26"/>
        <v/>
      </c>
    </row>
    <row r="150" spans="2:11" ht="16.5" customHeight="1">
      <c r="B150" s="100" t="s">
        <v>19</v>
      </c>
      <c r="C150" s="16" t="s">
        <v>20</v>
      </c>
      <c r="D150" s="298">
        <f t="shared" si="22"/>
        <v>0</v>
      </c>
      <c r="E150" s="432">
        <f t="shared" si="23"/>
        <v>0</v>
      </c>
      <c r="F150" s="433"/>
      <c r="G150" s="434">
        <f t="shared" si="24"/>
        <v>0</v>
      </c>
      <c r="H150" s="435"/>
      <c r="I150" s="436"/>
      <c r="J150" s="299" t="str">
        <f t="shared" si="25"/>
        <v>No</v>
      </c>
      <c r="K150" s="197" t="str">
        <f t="shared" si="26"/>
        <v/>
      </c>
    </row>
    <row r="151" spans="2:11">
      <c r="B151" s="7"/>
      <c r="E151" s="97"/>
      <c r="F151" s="97"/>
      <c r="G151" s="2"/>
      <c r="H151" s="2"/>
      <c r="I151" s="2"/>
      <c r="J151" s="299"/>
      <c r="K151" s="97"/>
    </row>
    <row r="152" spans="2:11" ht="15.75" customHeight="1">
      <c r="B152" s="437" t="s">
        <v>379</v>
      </c>
      <c r="C152" s="437"/>
      <c r="D152" s="288"/>
      <c r="E152" s="263"/>
      <c r="F152" s="263"/>
      <c r="G152" s="289"/>
      <c r="H152" s="289"/>
      <c r="I152" s="289"/>
      <c r="J152" s="300"/>
      <c r="K152" s="263"/>
    </row>
    <row r="153" spans="2:11">
      <c r="B153" s="100" t="s">
        <v>76</v>
      </c>
      <c r="C153" s="16" t="s">
        <v>77</v>
      </c>
      <c r="D153" s="298">
        <f t="shared" ref="D153:D155" si="27">ROUND((SUMIF($K$32:$K$62,B153,$J$32:$J$62))*1,0)</f>
        <v>0</v>
      </c>
      <c r="E153" s="432">
        <f t="shared" ref="E153:E155" si="28">ROUND((SUMIF($K$74:$K$122,B153,$J$74:$J$122))*1,0)</f>
        <v>0</v>
      </c>
      <c r="F153" s="433"/>
      <c r="G153" s="434">
        <f t="shared" ref="G153:G155" si="29">SUM(D153:F153)</f>
        <v>0</v>
      </c>
      <c r="H153" s="435"/>
      <c r="I153" s="436"/>
      <c r="J153" s="299" t="str">
        <f t="shared" ref="J153:J155" si="30">IF(G153&gt;=75,"Yes","No")</f>
        <v>No</v>
      </c>
      <c r="K153" s="197" t="str">
        <f t="shared" ref="K153:K155" si="31">IF(G153&gt;0,MAX(0,75-G153),"")</f>
        <v/>
      </c>
    </row>
    <row r="154" spans="2:11" ht="15.75" customHeight="1">
      <c r="B154" s="100" t="s">
        <v>78</v>
      </c>
      <c r="C154" s="16" t="s">
        <v>550</v>
      </c>
      <c r="D154" s="298">
        <f t="shared" si="27"/>
        <v>0</v>
      </c>
      <c r="E154" s="432">
        <f t="shared" si="28"/>
        <v>0</v>
      </c>
      <c r="F154" s="433"/>
      <c r="G154" s="434">
        <f t="shared" si="29"/>
        <v>0</v>
      </c>
      <c r="H154" s="435"/>
      <c r="I154" s="436"/>
      <c r="J154" s="299" t="str">
        <f t="shared" si="30"/>
        <v>No</v>
      </c>
      <c r="K154" s="197" t="str">
        <f t="shared" si="31"/>
        <v/>
      </c>
    </row>
    <row r="155" spans="2:11">
      <c r="B155" s="100" t="s">
        <v>80</v>
      </c>
      <c r="C155" s="16" t="s">
        <v>81</v>
      </c>
      <c r="D155" s="298">
        <f t="shared" si="27"/>
        <v>0</v>
      </c>
      <c r="E155" s="432">
        <f t="shared" si="28"/>
        <v>0</v>
      </c>
      <c r="F155" s="433"/>
      <c r="G155" s="434">
        <f t="shared" si="29"/>
        <v>0</v>
      </c>
      <c r="H155" s="435"/>
      <c r="I155" s="436"/>
      <c r="J155" s="299" t="str">
        <f t="shared" si="30"/>
        <v>No</v>
      </c>
      <c r="K155" s="197" t="str">
        <f t="shared" si="31"/>
        <v/>
      </c>
    </row>
    <row r="156" spans="2:11">
      <c r="B156" s="121"/>
      <c r="C156" s="6"/>
      <c r="D156" s="6"/>
      <c r="E156" s="97"/>
      <c r="F156" s="97"/>
      <c r="G156" s="2"/>
      <c r="H156" s="2"/>
      <c r="I156" s="2"/>
      <c r="J156" s="299"/>
      <c r="K156" s="97"/>
    </row>
    <row r="157" spans="2:11" ht="15.75" customHeight="1">
      <c r="B157" s="437" t="s">
        <v>380</v>
      </c>
      <c r="C157" s="437"/>
      <c r="D157" s="288"/>
      <c r="E157" s="263"/>
      <c r="F157" s="263"/>
      <c r="G157" s="289"/>
      <c r="H157" s="289"/>
      <c r="I157" s="289"/>
      <c r="J157" s="300"/>
      <c r="K157" s="263"/>
    </row>
    <row r="158" spans="2:11">
      <c r="B158" s="100" t="s">
        <v>84</v>
      </c>
      <c r="C158" s="16" t="s">
        <v>87</v>
      </c>
      <c r="D158" s="298">
        <f t="shared" ref="D158:D160" si="32">ROUND((SUMIF($K$32:$K$62,B158,$J$32:$J$62))*1,0)</f>
        <v>0</v>
      </c>
      <c r="E158" s="432">
        <f t="shared" ref="E158:E160" si="33">ROUND((SUMIF($K$74:$K$122,B158,$J$74:$J$122))*1,0)</f>
        <v>0</v>
      </c>
      <c r="F158" s="433"/>
      <c r="G158" s="434">
        <f t="shared" ref="G158:G160" si="34">SUM(D158:F158)</f>
        <v>0</v>
      </c>
      <c r="H158" s="435"/>
      <c r="I158" s="436"/>
      <c r="J158" s="299" t="str">
        <f t="shared" ref="J158:J160" si="35">IF(G158&gt;=75,"Yes","No")</f>
        <v>No</v>
      </c>
      <c r="K158" s="197" t="str">
        <f t="shared" ref="K158:K160" si="36">IF(G158&gt;0,MAX(0,75-G158),"")</f>
        <v/>
      </c>
    </row>
    <row r="159" spans="2:11">
      <c r="B159" s="100" t="s">
        <v>85</v>
      </c>
      <c r="C159" s="16" t="s">
        <v>88</v>
      </c>
      <c r="D159" s="298">
        <f t="shared" si="32"/>
        <v>0</v>
      </c>
      <c r="E159" s="432">
        <f t="shared" si="33"/>
        <v>0</v>
      </c>
      <c r="F159" s="433"/>
      <c r="G159" s="434">
        <f t="shared" si="34"/>
        <v>0</v>
      </c>
      <c r="H159" s="435"/>
      <c r="I159" s="436"/>
      <c r="J159" s="299" t="str">
        <f t="shared" si="35"/>
        <v>No</v>
      </c>
      <c r="K159" s="197" t="str">
        <f t="shared" si="36"/>
        <v/>
      </c>
    </row>
    <row r="160" spans="2:11">
      <c r="B160" s="100" t="s">
        <v>86</v>
      </c>
      <c r="C160" s="16" t="s">
        <v>89</v>
      </c>
      <c r="D160" s="298">
        <f t="shared" si="32"/>
        <v>0</v>
      </c>
      <c r="E160" s="432">
        <f t="shared" si="33"/>
        <v>0</v>
      </c>
      <c r="F160" s="433"/>
      <c r="G160" s="434">
        <f t="shared" si="34"/>
        <v>0</v>
      </c>
      <c r="H160" s="435"/>
      <c r="I160" s="436"/>
      <c r="J160" s="299" t="str">
        <f t="shared" si="35"/>
        <v>No</v>
      </c>
      <c r="K160" s="197" t="str">
        <f t="shared" si="36"/>
        <v/>
      </c>
    </row>
    <row r="161" spans="2:11">
      <c r="B161" s="7"/>
      <c r="E161" s="97"/>
      <c r="F161" s="97"/>
      <c r="G161" s="2"/>
      <c r="H161" s="2"/>
      <c r="I161" s="2"/>
      <c r="J161" s="299"/>
      <c r="K161" s="97"/>
    </row>
    <row r="162" spans="2:11" ht="15.75" customHeight="1">
      <c r="B162" s="447" t="s">
        <v>381</v>
      </c>
      <c r="C162" s="447"/>
      <c r="D162" s="288"/>
      <c r="E162" s="263"/>
      <c r="F162" s="263"/>
      <c r="G162" s="289"/>
      <c r="H162" s="289"/>
      <c r="I162" s="289"/>
      <c r="J162" s="300"/>
      <c r="K162" s="263"/>
    </row>
    <row r="163" spans="2:11">
      <c r="B163" s="100" t="s">
        <v>29</v>
      </c>
      <c r="C163" s="16" t="s">
        <v>90</v>
      </c>
      <c r="D163" s="298">
        <f t="shared" ref="D163:D165" si="37">ROUND((SUMIF($K$32:$K$62,B163,$J$32:$J$62))*1,0)</f>
        <v>0</v>
      </c>
      <c r="E163" s="432">
        <f t="shared" ref="E163:E165" si="38">ROUND((SUMIF($K$74:$K$122,B163,$J$74:$J$122))*1,0)</f>
        <v>0</v>
      </c>
      <c r="F163" s="433"/>
      <c r="G163" s="434">
        <f>ROUND((SUMIF($K$32:$K$122,B163,$J$32:$J$122))*1,0)</f>
        <v>0</v>
      </c>
      <c r="H163" s="435"/>
      <c r="I163" s="436"/>
      <c r="J163" s="299" t="str">
        <f t="shared" ref="J163:J165" si="39">IF(G163&gt;=75,"Yes","No")</f>
        <v>No</v>
      </c>
      <c r="K163" s="197" t="str">
        <f t="shared" ref="K163:K164" si="40">IF(G163&gt;0,MAX(0,75-G163),"")</f>
        <v/>
      </c>
    </row>
    <row r="164" spans="2:11">
      <c r="B164" s="100" t="s">
        <v>82</v>
      </c>
      <c r="C164" s="16" t="s">
        <v>91</v>
      </c>
      <c r="D164" s="298">
        <f t="shared" si="37"/>
        <v>0</v>
      </c>
      <c r="E164" s="432">
        <f t="shared" si="38"/>
        <v>0</v>
      </c>
      <c r="F164" s="433"/>
      <c r="G164" s="434">
        <f>ROUND((SUMIF($K$32:$K$122,B164,$J$32:$J$122))*1,0)</f>
        <v>0</v>
      </c>
      <c r="H164" s="435"/>
      <c r="I164" s="436"/>
      <c r="J164" s="299" t="str">
        <f t="shared" si="39"/>
        <v>No</v>
      </c>
      <c r="K164" s="197" t="str">
        <f t="shared" si="40"/>
        <v/>
      </c>
    </row>
    <row r="165" spans="2:11">
      <c r="B165" s="100" t="s">
        <v>92</v>
      </c>
      <c r="C165" s="16" t="s">
        <v>93</v>
      </c>
      <c r="D165" s="298">
        <f t="shared" si="37"/>
        <v>0</v>
      </c>
      <c r="E165" s="432">
        <f t="shared" si="38"/>
        <v>0</v>
      </c>
      <c r="F165" s="433"/>
      <c r="G165" s="434">
        <f>ROUND((SUMIF($K$32:$K$122,B165,$J$32:$J$122))*1,0)</f>
        <v>0</v>
      </c>
      <c r="H165" s="435"/>
      <c r="I165" s="436"/>
      <c r="J165" s="299" t="str">
        <f t="shared" si="39"/>
        <v>No</v>
      </c>
      <c r="K165" s="197" t="str">
        <f>IF(G165&gt;0,MAX(0,75-G165),"")</f>
        <v/>
      </c>
    </row>
    <row r="166" spans="2:11">
      <c r="B166" s="121"/>
      <c r="C166" s="6"/>
      <c r="D166" s="6"/>
      <c r="E166" s="2"/>
      <c r="F166" s="2"/>
      <c r="G166" s="2"/>
      <c r="H166" s="2"/>
      <c r="I166" s="2"/>
      <c r="J166" s="97"/>
    </row>
    <row r="167" spans="2:11" ht="16.5" hidden="1" customHeight="1">
      <c r="B167" s="7"/>
      <c r="E167" s="2"/>
      <c r="F167" s="2"/>
      <c r="G167" s="2"/>
      <c r="H167" s="2"/>
      <c r="I167" s="2"/>
      <c r="J167" s="97"/>
    </row>
    <row r="168" spans="2:11" ht="21" hidden="1" customHeight="1">
      <c r="B168" s="290" t="s">
        <v>399</v>
      </c>
      <c r="C168" s="468" t="s">
        <v>375</v>
      </c>
      <c r="D168" s="469"/>
      <c r="E168" s="469"/>
      <c r="F168" s="469"/>
      <c r="G168" s="470">
        <f>SUMIF(B32:B122,"* Other competencies",J32:J122)</f>
        <v>0</v>
      </c>
      <c r="H168" s="471"/>
      <c r="I168" s="472"/>
      <c r="J168" s="291"/>
      <c r="K168" s="292"/>
    </row>
    <row r="169" spans="2:11" ht="15">
      <c r="B169" s="293"/>
      <c r="C169" s="294"/>
      <c r="D169" s="294"/>
      <c r="E169" s="294"/>
      <c r="F169" s="294"/>
      <c r="G169" s="291"/>
      <c r="H169" s="291"/>
      <c r="I169" s="291"/>
      <c r="J169" s="291"/>
      <c r="K169" s="292"/>
    </row>
    <row r="170" spans="2:11" ht="21.75" customHeight="1">
      <c r="B170" s="293"/>
      <c r="C170" s="294"/>
      <c r="E170" s="295"/>
      <c r="F170" s="294"/>
      <c r="G170" s="291"/>
      <c r="H170" s="291"/>
      <c r="I170" s="291"/>
      <c r="J170" s="291"/>
      <c r="K170" s="292"/>
    </row>
    <row r="171" spans="2:11" ht="21.75" customHeight="1">
      <c r="B171" s="293"/>
      <c r="C171" s="294"/>
      <c r="E171" s="295"/>
      <c r="F171" s="294"/>
      <c r="G171" s="291"/>
      <c r="H171" s="291"/>
      <c r="I171" s="291"/>
      <c r="J171" s="291"/>
      <c r="K171" s="292"/>
    </row>
    <row r="172" spans="2:11" ht="21.75" customHeight="1">
      <c r="B172" s="293"/>
      <c r="C172" s="294"/>
      <c r="E172" s="295"/>
      <c r="F172" s="294"/>
      <c r="G172" s="291"/>
      <c r="H172" s="291"/>
      <c r="I172" s="291"/>
      <c r="J172" s="291"/>
      <c r="K172" s="292"/>
    </row>
    <row r="173" spans="2:11" ht="21.75" customHeight="1">
      <c r="B173" s="293"/>
      <c r="C173" s="294"/>
      <c r="E173" s="295"/>
      <c r="F173" s="294"/>
      <c r="G173" s="291"/>
      <c r="H173" s="291"/>
      <c r="I173" s="291"/>
      <c r="J173" s="291"/>
      <c r="K173" s="292"/>
    </row>
    <row r="174" spans="2:11" ht="21.75" customHeight="1">
      <c r="B174" s="293"/>
      <c r="C174" s="294"/>
      <c r="E174" s="295"/>
      <c r="F174" s="294"/>
      <c r="G174" s="291"/>
      <c r="H174" s="291"/>
      <c r="I174" s="291"/>
      <c r="J174" s="291"/>
      <c r="K174" s="292"/>
    </row>
    <row r="175" spans="2:11" ht="21.75" customHeight="1">
      <c r="B175" s="293"/>
      <c r="C175" s="294"/>
      <c r="E175" s="295"/>
      <c r="F175" s="294"/>
      <c r="G175" s="291"/>
      <c r="H175" s="291"/>
      <c r="I175" s="291"/>
      <c r="J175" s="291"/>
      <c r="K175" s="292"/>
    </row>
    <row r="176" spans="2:11" ht="25.5" customHeight="1">
      <c r="B176" s="293"/>
      <c r="C176" s="465"/>
      <c r="D176" s="465"/>
      <c r="E176" s="463" t="s">
        <v>570</v>
      </c>
      <c r="F176" s="463"/>
      <c r="G176" s="463"/>
      <c r="H176" s="463"/>
      <c r="I176" s="463"/>
      <c r="J176" s="291"/>
      <c r="K176" s="292"/>
    </row>
    <row r="177" spans="2:11" ht="18.75" customHeight="1">
      <c r="B177" s="293"/>
      <c r="C177" s="296"/>
      <c r="D177" s="296"/>
      <c r="E177" s="61"/>
      <c r="F177" s="61"/>
      <c r="G177" s="61"/>
      <c r="H177" s="466" t="s">
        <v>547</v>
      </c>
      <c r="I177" s="467"/>
      <c r="J177" s="291"/>
      <c r="K177" s="292"/>
    </row>
    <row r="178" spans="2:11" ht="18.75" customHeight="1">
      <c r="B178" s="43"/>
      <c r="C178" s="464" t="s">
        <v>569</v>
      </c>
      <c r="D178" s="464"/>
      <c r="E178" s="273" t="s">
        <v>392</v>
      </c>
      <c r="F178" s="273" t="s">
        <v>393</v>
      </c>
      <c r="G178" s="273" t="s">
        <v>394</v>
      </c>
      <c r="H178" s="273" t="s">
        <v>395</v>
      </c>
      <c r="I178" s="273" t="s">
        <v>396</v>
      </c>
      <c r="J178" s="232"/>
      <c r="K178" s="1"/>
    </row>
    <row r="179" spans="2:11" ht="22.5" customHeight="1">
      <c r="C179" s="438" t="s">
        <v>584</v>
      </c>
      <c r="D179" s="438"/>
      <c r="E179" s="239">
        <f>E128</f>
        <v>0</v>
      </c>
      <c r="F179" s="239">
        <f>F128</f>
        <v>0</v>
      </c>
      <c r="G179" s="239">
        <f>G128</f>
        <v>0</v>
      </c>
      <c r="H179" s="239">
        <f>H128</f>
        <v>0</v>
      </c>
      <c r="I179" s="239">
        <f>I128</f>
        <v>0</v>
      </c>
      <c r="J179" s="97"/>
      <c r="K179" s="1"/>
    </row>
    <row r="180" spans="2:11" ht="22.5" customHeight="1">
      <c r="C180" s="438" t="s">
        <v>586</v>
      </c>
      <c r="D180" s="438"/>
      <c r="E180" s="239">
        <v>130</v>
      </c>
      <c r="F180" s="239">
        <v>130</v>
      </c>
      <c r="G180" s="239">
        <v>130</v>
      </c>
      <c r="H180" s="239">
        <v>130</v>
      </c>
      <c r="I180" s="239">
        <v>130</v>
      </c>
      <c r="K180" s="1"/>
    </row>
    <row r="181" spans="2:11" ht="21" customHeight="1" thickBot="1">
      <c r="C181" s="439" t="s">
        <v>571</v>
      </c>
      <c r="D181" s="439"/>
      <c r="E181" s="297">
        <f>IF(E179&gt;E180,0,-(E179-E180))</f>
        <v>130</v>
      </c>
      <c r="F181" s="297">
        <f t="shared" ref="F181:I181" si="41">IF(F179&gt;F180,0,-(F179-F180))</f>
        <v>130</v>
      </c>
      <c r="G181" s="297">
        <f t="shared" si="41"/>
        <v>130</v>
      </c>
      <c r="H181" s="297">
        <f t="shared" si="41"/>
        <v>130</v>
      </c>
      <c r="I181" s="297">
        <f t="shared" si="41"/>
        <v>130</v>
      </c>
      <c r="J181" s="98"/>
      <c r="K181" s="1"/>
    </row>
    <row r="182" spans="2:11" ht="15.75" customHeight="1" thickTop="1">
      <c r="D182" s="122"/>
    </row>
    <row r="183" spans="2:11" ht="15.75" customHeight="1">
      <c r="D183" s="122"/>
      <c r="G183" s="434" t="s">
        <v>453</v>
      </c>
      <c r="H183" s="435"/>
      <c r="I183" s="436"/>
    </row>
    <row r="184" spans="2:11" ht="15.75" customHeight="1">
      <c r="D184" s="5" t="s">
        <v>585</v>
      </c>
      <c r="E184" s="43"/>
      <c r="G184" s="434">
        <f>SUM(E179:I179)</f>
        <v>0</v>
      </c>
      <c r="H184" s="435"/>
      <c r="I184" s="436"/>
    </row>
    <row r="185" spans="2:11" ht="15.75" customHeight="1">
      <c r="D185" s="5" t="s">
        <v>587</v>
      </c>
      <c r="G185" s="441">
        <f>IF(D6="3 years",500,IF(D6="4 years",670,IF(D6="5 years",830,0)))</f>
        <v>0</v>
      </c>
      <c r="H185" s="442"/>
      <c r="I185" s="443"/>
    </row>
    <row r="186" spans="2:11" ht="16.5" customHeight="1" thickBot="1">
      <c r="C186" s="439" t="s">
        <v>589</v>
      </c>
      <c r="D186" s="439"/>
      <c r="G186" s="440">
        <f>IF(G184&gt;G185,0,-(G184-G185))</f>
        <v>0</v>
      </c>
      <c r="H186" s="440"/>
      <c r="I186" s="440"/>
      <c r="K186" s="1"/>
    </row>
    <row r="187" spans="2:11" ht="16.5" thickTop="1"/>
    <row r="188" spans="2:11">
      <c r="G188" s="434" t="s">
        <v>453</v>
      </c>
      <c r="H188" s="435"/>
      <c r="I188" s="436"/>
    </row>
    <row r="189" spans="2:11">
      <c r="C189" s="438" t="s">
        <v>583</v>
      </c>
      <c r="D189" s="438"/>
      <c r="G189" s="424">
        <f>SUM(E138:F165)</f>
        <v>0</v>
      </c>
      <c r="H189" s="424"/>
      <c r="I189" s="424"/>
    </row>
    <row r="190" spans="2:11">
      <c r="C190" s="438" t="s">
        <v>582</v>
      </c>
      <c r="D190" s="438"/>
      <c r="G190" s="424">
        <v>250</v>
      </c>
      <c r="H190" s="424"/>
      <c r="I190" s="424"/>
    </row>
    <row r="191" spans="2:11" ht="16.5" thickBot="1">
      <c r="C191" s="439" t="s">
        <v>588</v>
      </c>
      <c r="D191" s="439"/>
      <c r="G191" s="440">
        <f>IF(G189&gt;G190,0,-(G189-G190))</f>
        <v>250</v>
      </c>
      <c r="H191" s="440"/>
      <c r="I191" s="440"/>
    </row>
    <row r="192" spans="2:11" ht="16.5" thickTop="1"/>
  </sheetData>
  <mergeCells count="90">
    <mergeCell ref="B1:K1"/>
    <mergeCell ref="C180:D180"/>
    <mergeCell ref="C181:D181"/>
    <mergeCell ref="E176:I176"/>
    <mergeCell ref="C179:D179"/>
    <mergeCell ref="C178:D178"/>
    <mergeCell ref="C176:D176"/>
    <mergeCell ref="H177:I177"/>
    <mergeCell ref="E160:F160"/>
    <mergeCell ref="G160:I160"/>
    <mergeCell ref="E163:F163"/>
    <mergeCell ref="G163:I163"/>
    <mergeCell ref="C168:F168"/>
    <mergeCell ref="G168:I168"/>
    <mergeCell ref="E164:F164"/>
    <mergeCell ref="G164:I164"/>
    <mergeCell ref="E165:F165"/>
    <mergeCell ref="G165:I165"/>
    <mergeCell ref="E155:F155"/>
    <mergeCell ref="G155:I155"/>
    <mergeCell ref="E158:F158"/>
    <mergeCell ref="G158:I158"/>
    <mergeCell ref="E159:F159"/>
    <mergeCell ref="G159:I159"/>
    <mergeCell ref="E150:F150"/>
    <mergeCell ref="G150:I150"/>
    <mergeCell ref="E153:F153"/>
    <mergeCell ref="G153:I153"/>
    <mergeCell ref="E154:F154"/>
    <mergeCell ref="G154:I154"/>
    <mergeCell ref="J135:J137"/>
    <mergeCell ref="K135:K137"/>
    <mergeCell ref="E136:F137"/>
    <mergeCell ref="G136:I137"/>
    <mergeCell ref="E29:I29"/>
    <mergeCell ref="J29:J31"/>
    <mergeCell ref="K29:K31"/>
    <mergeCell ref="E71:I71"/>
    <mergeCell ref="K71:K73"/>
    <mergeCell ref="H30:I30"/>
    <mergeCell ref="H72:I72"/>
    <mergeCell ref="H126:I126"/>
    <mergeCell ref="B2:K2"/>
    <mergeCell ref="D10:I10"/>
    <mergeCell ref="D7:I7"/>
    <mergeCell ref="D8:I8"/>
    <mergeCell ref="D9:I9"/>
    <mergeCell ref="B162:C162"/>
    <mergeCell ref="B157:C157"/>
    <mergeCell ref="B152:C152"/>
    <mergeCell ref="B147:C147"/>
    <mergeCell ref="B142:C142"/>
    <mergeCell ref="E143:F143"/>
    <mergeCell ref="D6:I6"/>
    <mergeCell ref="D5:I5"/>
    <mergeCell ref="D4:I4"/>
    <mergeCell ref="E138:F138"/>
    <mergeCell ref="G138:I138"/>
    <mergeCell ref="E139:F139"/>
    <mergeCell ref="G139:I139"/>
    <mergeCell ref="E140:F140"/>
    <mergeCell ref="G140:I140"/>
    <mergeCell ref="D136:D137"/>
    <mergeCell ref="D11:I11"/>
    <mergeCell ref="D12:I12"/>
    <mergeCell ref="D13:I13"/>
    <mergeCell ref="C127:D127"/>
    <mergeCell ref="C128:D128"/>
    <mergeCell ref="B137:C137"/>
    <mergeCell ref="C189:D189"/>
    <mergeCell ref="C190:D190"/>
    <mergeCell ref="C191:D191"/>
    <mergeCell ref="G189:I189"/>
    <mergeCell ref="G190:I190"/>
    <mergeCell ref="G191:I191"/>
    <mergeCell ref="G188:I188"/>
    <mergeCell ref="G183:I183"/>
    <mergeCell ref="G184:I184"/>
    <mergeCell ref="G185:I185"/>
    <mergeCell ref="G186:I186"/>
    <mergeCell ref="C186:D186"/>
    <mergeCell ref="G143:I143"/>
    <mergeCell ref="E144:F144"/>
    <mergeCell ref="G144:I144"/>
    <mergeCell ref="E145:F145"/>
    <mergeCell ref="G145:I145"/>
    <mergeCell ref="E148:F148"/>
    <mergeCell ref="G148:I148"/>
    <mergeCell ref="E149:F149"/>
    <mergeCell ref="G149:I149"/>
  </mergeCells>
  <phoneticPr fontId="2" type="noConversion"/>
  <dataValidations disablePrompts="1" count="12">
    <dataValidation type="list" allowBlank="1" showInputMessage="1" showErrorMessage="1" sqref="K74 K32 K39" xr:uid="{00000000-0002-0000-0600-000000000000}">
      <formula1>"Please select,FAR1,FAR2"</formula1>
    </dataValidation>
    <dataValidation type="list" allowBlank="1" showInputMessage="1" showErrorMessage="1" sqref="K46 K83" xr:uid="{00000000-0002-0000-0600-000001000000}">
      <formula1>"Please select,AA1,AA2,GRI2"</formula1>
    </dataValidation>
    <dataValidation type="list" allowBlank="1" showInputMessage="1" showErrorMessage="1" sqref="K47 K84" xr:uid="{00000000-0002-0000-0600-000002000000}">
      <formula1>"Please select,AA1,GRI3"</formula1>
    </dataValidation>
    <dataValidation type="list" allowBlank="1" showInputMessage="1" showErrorMessage="1" sqref="K48 K85" xr:uid="{00000000-0002-0000-0600-000003000000}">
      <formula1>"Please select,AA3,GRI3"</formula1>
    </dataValidation>
    <dataValidation type="list" allowBlank="1" showInputMessage="1" showErrorMessage="1" sqref="K49 K86" xr:uid="{00000000-0002-0000-0600-000004000000}">
      <formula1>"Please select,AA2,GRI1"</formula1>
    </dataValidation>
    <dataValidation type="list" allowBlank="1" showInputMessage="1" showErrorMessage="1" sqref="K51" xr:uid="{00000000-0002-0000-0600-000005000000}">
      <formula1>"Please select,GRI1,GRI2"</formula1>
    </dataValidation>
    <dataValidation type="list" allowBlank="1" showInputMessage="1" showErrorMessage="1" sqref="K55 K92" xr:uid="{00000000-0002-0000-0600-000006000000}">
      <formula1>"Please select,MF1,MF3"</formula1>
    </dataValidation>
    <dataValidation type="list" allowBlank="1" showInputMessage="1" showErrorMessage="1" sqref="K60 K99" xr:uid="{00000000-0002-0000-0600-000007000000}">
      <formula1>"Please select,T1,T2"</formula1>
    </dataValidation>
    <dataValidation type="list" allowBlank="1" showInputMessage="1" showErrorMessage="1" sqref="K61 K100" xr:uid="{00000000-0002-0000-0600-000008000000}">
      <formula1>"Please select,T2,T3"</formula1>
    </dataValidation>
    <dataValidation type="list" allowBlank="1" showInputMessage="1" showErrorMessage="1" sqref="K81" xr:uid="{00000000-0002-0000-0600-000009000000}">
      <formula1>"Please select,AA1,GRI2"</formula1>
    </dataValidation>
    <dataValidation type="list" allowBlank="1" showInputMessage="1" showErrorMessage="1" sqref="K82" xr:uid="{00000000-0002-0000-0600-00000A000000}">
      <formula1>"Please select,AA2,GRI3"</formula1>
    </dataValidation>
    <dataValidation type="list" allowBlank="1" showInputMessage="1" showErrorMessage="1" sqref="K107" xr:uid="{00000000-0002-0000-0600-00000B000000}">
      <formula1>"Please select,MF2,GRI3"</formula1>
    </dataValidation>
  </dataValidations>
  <pageMargins left="0.35433070866141736" right="0.23622047244094491" top="0.74803149606299213" bottom="0.59055118110236227" header="0.31496062992125984" footer="0.31496062992125984"/>
  <pageSetup paperSize="9" scale="40" fitToHeight="0" orientation="portrait" cellComments="asDisplayed" horizontalDpi="300" verticalDpi="300" r:id="rId1"/>
  <headerFooter>
    <oddFooter>&amp;C&amp;"Arial,Regular"&amp;10Page &amp;P of &amp;N</oddFooter>
  </headerFooter>
  <rowBreaks count="2" manualBreakCount="2">
    <brk id="70" max="12" man="1"/>
    <brk id="132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249977111117893"/>
    <pageSetUpPr fitToPage="1"/>
  </sheetPr>
  <dimension ref="A1:H35"/>
  <sheetViews>
    <sheetView zoomScale="85" zoomScaleNormal="85" zoomScalePageLayoutView="25" workbookViewId="0">
      <selection activeCell="E19" sqref="E19"/>
    </sheetView>
  </sheetViews>
  <sheetFormatPr defaultColWidth="9" defaultRowHeight="15"/>
  <cols>
    <col min="1" max="1" width="3.625" style="1" bestFit="1" customWidth="1"/>
    <col min="2" max="2" width="38" style="1" customWidth="1"/>
    <col min="3" max="3" width="26.5" style="1" customWidth="1"/>
    <col min="4" max="4" width="32" style="1" customWidth="1"/>
    <col min="5" max="6" width="28.5" style="1" customWidth="1"/>
    <col min="7" max="7" width="20.625" style="1" bestFit="1" customWidth="1"/>
    <col min="8" max="16384" width="9" style="1"/>
  </cols>
  <sheetData>
    <row r="1" spans="1:8" ht="20.25">
      <c r="A1" s="334" t="s">
        <v>652</v>
      </c>
      <c r="C1" s="97"/>
      <c r="D1" s="97"/>
      <c r="G1" s="97"/>
      <c r="H1" s="11"/>
    </row>
    <row r="2" spans="1:8" ht="20.25">
      <c r="A2" s="334"/>
      <c r="C2" s="97"/>
      <c r="D2" s="97"/>
      <c r="G2" s="97"/>
      <c r="H2" s="11"/>
    </row>
    <row r="3" spans="1:8" ht="20.25">
      <c r="A3" s="335" t="s">
        <v>656</v>
      </c>
      <c r="C3" s="232"/>
      <c r="D3" s="232"/>
      <c r="G3" s="232"/>
      <c r="H3" s="318"/>
    </row>
    <row r="4" spans="1:8" ht="20.25">
      <c r="A4" s="335" t="s">
        <v>661</v>
      </c>
      <c r="C4" s="232"/>
      <c r="D4" s="232"/>
      <c r="G4" s="232"/>
      <c r="H4" s="318"/>
    </row>
    <row r="5" spans="1:8" ht="20.25">
      <c r="A5" s="335"/>
      <c r="C5" s="232"/>
      <c r="D5" s="232"/>
      <c r="G5" s="232"/>
      <c r="H5" s="318"/>
    </row>
    <row r="6" spans="1:8" ht="20.25">
      <c r="A6" s="335"/>
      <c r="B6" s="36" t="s">
        <v>684</v>
      </c>
      <c r="C6" s="232"/>
      <c r="D6" s="232"/>
      <c r="G6" s="232"/>
      <c r="H6" s="318"/>
    </row>
    <row r="7" spans="1:8" ht="42" customHeight="1">
      <c r="B7" s="477" t="s">
        <v>674</v>
      </c>
      <c r="C7" s="477"/>
      <c r="D7" s="397"/>
      <c r="E7" s="321"/>
      <c r="F7" s="322"/>
      <c r="G7" s="319"/>
      <c r="H7" s="2"/>
    </row>
    <row r="8" spans="1:8" ht="42" customHeight="1">
      <c r="B8" s="477" t="s">
        <v>675</v>
      </c>
      <c r="C8" s="477"/>
      <c r="D8" s="397"/>
      <c r="E8" s="323"/>
      <c r="F8" s="322"/>
      <c r="G8" s="319"/>
      <c r="H8" s="2"/>
    </row>
    <row r="9" spans="1:8" ht="18">
      <c r="B9" s="344" t="s">
        <v>663</v>
      </c>
      <c r="C9" s="344"/>
      <c r="D9" s="398" t="s">
        <v>472</v>
      </c>
      <c r="E9" s="323"/>
      <c r="F9" s="322"/>
      <c r="G9" s="319"/>
      <c r="H9" s="2"/>
    </row>
    <row r="10" spans="1:8" ht="42" customHeight="1">
      <c r="B10" s="477" t="s">
        <v>664</v>
      </c>
      <c r="C10" s="477"/>
      <c r="D10" s="321" t="str">
        <f>IF(D9="Approved degree holders or HKIAAT graduates who have passed the QP",500,IF(D9="Approved accountancy diploma holders",670,IF(D9="Holders of other academic qualifications",830,IF(D9="Graduated from the Assoicate Level of QP",500,"N/A"))))</f>
        <v>N/A</v>
      </c>
      <c r="E10" s="323"/>
      <c r="F10" s="322"/>
      <c r="G10" s="319"/>
      <c r="H10" s="2"/>
    </row>
    <row r="11" spans="1:8" ht="42" hidden="1" customHeight="1">
      <c r="B11" s="477" t="s">
        <v>700</v>
      </c>
      <c r="C11" s="477"/>
      <c r="D11" s="321">
        <f>IFERROR(DATEDIF(SMALL(B41:C43,1),SUM(LARGE(B41:C43,1)+1), "y") &amp; IF(DATEDIF(SMALL(B41:C43,1),SUM(LARGE(B41:C43,1)+1), "y")=1, " year ", " years ") &amp;DATEDIF(SMALL(B41:C43,1),SUM(LARGE(B41:C43,1)+1),"ym") &amp; IF(DATEDIF(SMALL(B41:C43,1),SUM(LARGE(B41:C43,1)+1), "ym")=1, " month ", " months ") &amp; DATEDIF(SMALL(B41:C43,1),SUM(LARGE(B41:C43,1)+1), "md") &amp; IF(DATEDIF(SMALL(B41:C43,1),SUM(LARGE(B41:C43,1)+1), "md")=1, " day"," days"),0)</f>
        <v>0</v>
      </c>
      <c r="E11" s="323"/>
      <c r="F11" s="324"/>
      <c r="G11" s="320"/>
      <c r="H11" s="2"/>
    </row>
    <row r="12" spans="1:8" ht="42" customHeight="1">
      <c r="A12" s="5"/>
      <c r="B12" s="477" t="s">
        <v>676</v>
      </c>
      <c r="C12" s="477"/>
      <c r="D12" s="323">
        <f>'Competence &amp; Declaration'!D35</f>
        <v>0</v>
      </c>
      <c r="E12" s="323"/>
      <c r="F12" s="325"/>
      <c r="G12" s="316"/>
      <c r="H12" s="2"/>
    </row>
    <row r="13" spans="1:8" ht="42" customHeight="1">
      <c r="A13" s="5"/>
      <c r="B13" s="477" t="s">
        <v>713</v>
      </c>
      <c r="C13" s="477"/>
      <c r="D13" s="323">
        <f>'Competence &amp; Declaration'!E35</f>
        <v>0</v>
      </c>
      <c r="E13" s="323"/>
      <c r="F13" s="325"/>
      <c r="G13" s="316"/>
      <c r="H13" s="2"/>
    </row>
    <row r="14" spans="1:8" ht="42" customHeight="1">
      <c r="A14" s="5"/>
      <c r="B14" s="477" t="s">
        <v>677</v>
      </c>
      <c r="C14" s="477"/>
      <c r="D14" s="323">
        <f>COUNT(B28:C33)+COUNTIF(B28:C33,"*")</f>
        <v>0</v>
      </c>
      <c r="E14" s="323"/>
      <c r="F14" s="325"/>
      <c r="G14" s="316"/>
      <c r="H14" s="2"/>
    </row>
    <row r="15" spans="1:8" ht="42" customHeight="1">
      <c r="A15" s="5"/>
      <c r="B15" s="477" t="s">
        <v>678</v>
      </c>
      <c r="C15" s="477"/>
      <c r="D15" s="323">
        <f>COUNTIFS(F28:F33,"&gt;0 days",F28:F33,"&lt;1 year")</f>
        <v>0</v>
      </c>
      <c r="E15" s="323"/>
      <c r="F15" s="325"/>
      <c r="G15" s="316"/>
      <c r="H15" s="2"/>
    </row>
    <row r="16" spans="1:8" ht="42" customHeight="1">
      <c r="A16" s="5"/>
      <c r="B16" s="477" t="s">
        <v>657</v>
      </c>
      <c r="C16" s="477"/>
      <c r="D16" s="326" t="str">
        <f>IF(D13&gt;=D10,"Yes","No")</f>
        <v>No</v>
      </c>
      <c r="E16" s="326"/>
      <c r="F16" s="327"/>
      <c r="G16" s="317"/>
      <c r="H16" s="2"/>
    </row>
    <row r="17" spans="1:8" ht="42" customHeight="1">
      <c r="A17" s="5"/>
      <c r="B17" s="477" t="s">
        <v>679</v>
      </c>
      <c r="C17" s="477"/>
      <c r="D17" s="326" t="str">
        <f>IF(AND(D10=500,SUM('Revised PEF - After conversion'!C38:E38)&lt;1),"Yes",IF(AND(D10=670,SUM('Revised PEF - After conversion'!C38:F38)&lt;1),"Yes",IF(AND(D10=830,SUM('Revised PEF - After conversion'!C38:G38)&lt;1),"Yes","No")))</f>
        <v>No</v>
      </c>
      <c r="E17" s="326"/>
      <c r="F17" s="327"/>
      <c r="G17" s="317"/>
      <c r="H17" s="2"/>
    </row>
    <row r="18" spans="1:8" ht="42" customHeight="1">
      <c r="B18" s="477" t="s">
        <v>680</v>
      </c>
      <c r="C18" s="477"/>
      <c r="D18" s="326" t="str">
        <f>IF(SUM('Revised PEF - After conversion'!C43:E43)&gt;0,"No","Yes")</f>
        <v>No</v>
      </c>
      <c r="E18" s="326"/>
      <c r="F18" s="327"/>
      <c r="G18" s="317"/>
      <c r="H18" s="2"/>
    </row>
    <row r="19" spans="1:8" ht="55.5" customHeight="1">
      <c r="B19" s="477" t="s">
        <v>681</v>
      </c>
      <c r="C19" s="477"/>
      <c r="D19" s="326" t="str">
        <f>IF(COUNTIF('Revised PEF - After conversion'!F5:F7,"Yes")&gt;=1,"Yes","No")</f>
        <v>No</v>
      </c>
      <c r="E19" s="326"/>
      <c r="F19" s="327"/>
      <c r="G19" s="317"/>
      <c r="H19" s="2"/>
    </row>
    <row r="20" spans="1:8" ht="42" customHeight="1">
      <c r="B20" s="477" t="s">
        <v>682</v>
      </c>
      <c r="C20" s="477"/>
      <c r="D20" s="326" t="str">
        <f>IF(COUNTIF('Revised PEF - After conversion'!F5:F32,"Yes")&gt;=4,"Yes","No")</f>
        <v>No</v>
      </c>
      <c r="E20" s="326"/>
      <c r="F20" s="327"/>
      <c r="G20" s="317"/>
      <c r="H20" s="2"/>
    </row>
    <row r="21" spans="1:8" ht="18">
      <c r="B21" s="328"/>
      <c r="C21" s="328"/>
      <c r="D21" s="51"/>
      <c r="E21" s="329"/>
      <c r="F21" s="329"/>
      <c r="G21" s="122"/>
      <c r="H21" s="2"/>
    </row>
    <row r="22" spans="1:8" ht="18">
      <c r="B22" s="51"/>
      <c r="C22" s="51"/>
      <c r="D22" s="51"/>
      <c r="E22" s="329"/>
      <c r="F22" s="329"/>
      <c r="G22" s="122"/>
      <c r="H22" s="2"/>
    </row>
    <row r="23" spans="1:8" ht="18">
      <c r="B23" s="36" t="s">
        <v>683</v>
      </c>
      <c r="C23" s="51"/>
      <c r="D23" s="51"/>
      <c r="E23" s="329"/>
      <c r="F23" s="329"/>
      <c r="G23" s="122"/>
      <c r="H23" s="2"/>
    </row>
    <row r="24" spans="1:8" ht="18">
      <c r="B24" s="36"/>
      <c r="C24" s="51"/>
      <c r="D24" s="51"/>
      <c r="E24" s="329"/>
      <c r="F24" s="329"/>
      <c r="G24" s="122"/>
      <c r="H24" s="2"/>
    </row>
    <row r="25" spans="1:8" ht="36">
      <c r="B25" s="475" t="s">
        <v>602</v>
      </c>
      <c r="C25" s="476"/>
      <c r="D25" s="336" t="s">
        <v>653</v>
      </c>
      <c r="E25" s="336" t="s">
        <v>654</v>
      </c>
      <c r="F25" s="337" t="s">
        <v>655</v>
      </c>
      <c r="H25" s="2"/>
    </row>
    <row r="26" spans="1:8" ht="18.75" thickBot="1">
      <c r="B26" s="338"/>
      <c r="C26" s="330"/>
      <c r="D26" s="331" t="s">
        <v>608</v>
      </c>
      <c r="E26" s="331" t="s">
        <v>608</v>
      </c>
      <c r="F26" s="339"/>
      <c r="H26" s="2"/>
    </row>
    <row r="27" spans="1:8" ht="18.75">
      <c r="B27" s="340" t="s">
        <v>605</v>
      </c>
      <c r="C27" s="341"/>
      <c r="D27" s="342"/>
      <c r="E27" s="342"/>
      <c r="F27" s="343"/>
      <c r="H27" s="2"/>
    </row>
    <row r="28" spans="1:8" ht="39.950000000000003" customHeight="1">
      <c r="A28" s="51">
        <v>1</v>
      </c>
      <c r="B28" s="473"/>
      <c r="C28" s="474"/>
      <c r="D28" s="406"/>
      <c r="E28" s="406"/>
      <c r="F28" s="332">
        <f>IFERROR(DATEDIF(SMALL(D28:E28,1),SUM(LARGE(D28:E28,1)+1), "y") &amp; IF(DATEDIF(SMALL(D28:E28,1),SUM(LARGE(D28:E28,1)+1), "y")=1, " year ", " years ") &amp;DATEDIF(SMALL(D28:E28,1),SUM(LARGE(D28:E28,1)+1),"ym") &amp; IF(DATEDIF(SMALL(D28:E28,1),SUM(LARGE(D28:E28,1)+1), "ym")=1, " month ", " months ") &amp; DATEDIF(SMALL(D28:E28,1),SUM(LARGE(D28:E28,1)+1), "md") &amp; IF(DATEDIF(SMALL(D28:E28,1),SUM(LARGE(D28:E28,1)+1), "md")=1, " day"," days"),0)</f>
        <v>0</v>
      </c>
      <c r="G28" s="407">
        <f t="shared" ref="G28:G33" si="0">IF((E28-D28)&gt;0,(E28-D28+1),0)</f>
        <v>0</v>
      </c>
      <c r="H28" s="2"/>
    </row>
    <row r="29" spans="1:8" ht="39.950000000000003" customHeight="1">
      <c r="A29" s="51">
        <v>2</v>
      </c>
      <c r="B29" s="473"/>
      <c r="C29" s="474"/>
      <c r="D29" s="406"/>
      <c r="E29" s="406"/>
      <c r="F29" s="332">
        <f t="shared" ref="F29:F33" si="1">IFERROR(DATEDIF(SMALL(D29:E29,1),SUM(LARGE(D29:E29,1)+1), "y") &amp; IF(DATEDIF(SMALL(D29:E29,1),SUM(LARGE(D29:E29,1)+1), "y")=1, " year ", " years ") &amp;DATEDIF(SMALL(D29:E29,1),SUM(LARGE(D29:E29,1)+1),"ym") &amp; IF(DATEDIF(SMALL(D29:E29,1),SUM(LARGE(D29:E29,1)+1), "ym")=1, " month ", " months ") &amp; DATEDIF(SMALL(D29:E29,1),SUM(LARGE(D29:E29,1)+1), "md") &amp; IF(DATEDIF(SMALL(D29:E29,1),SUM(LARGE(D29:E29,1)+1), "md")=1, " day"," days"),0)</f>
        <v>0</v>
      </c>
      <c r="G29" s="407">
        <f t="shared" si="0"/>
        <v>0</v>
      </c>
      <c r="H29" s="2"/>
    </row>
    <row r="30" spans="1:8" ht="39.950000000000003" customHeight="1">
      <c r="A30" s="51">
        <v>3</v>
      </c>
      <c r="B30" s="473"/>
      <c r="C30" s="474"/>
      <c r="D30" s="406"/>
      <c r="E30" s="406"/>
      <c r="F30" s="332">
        <f t="shared" si="1"/>
        <v>0</v>
      </c>
      <c r="G30" s="407">
        <f t="shared" si="0"/>
        <v>0</v>
      </c>
      <c r="H30" s="2"/>
    </row>
    <row r="31" spans="1:8" ht="39.950000000000003" customHeight="1">
      <c r="A31" s="51">
        <v>4</v>
      </c>
      <c r="B31" s="473"/>
      <c r="C31" s="474"/>
      <c r="D31" s="406"/>
      <c r="E31" s="406"/>
      <c r="F31" s="332">
        <f t="shared" si="1"/>
        <v>0</v>
      </c>
      <c r="G31" s="407">
        <f t="shared" si="0"/>
        <v>0</v>
      </c>
      <c r="H31" s="2"/>
    </row>
    <row r="32" spans="1:8" ht="39.950000000000003" customHeight="1">
      <c r="A32" s="51">
        <v>5</v>
      </c>
      <c r="B32" s="473"/>
      <c r="C32" s="474"/>
      <c r="D32" s="406"/>
      <c r="E32" s="406"/>
      <c r="F32" s="332">
        <f t="shared" si="1"/>
        <v>0</v>
      </c>
      <c r="G32" s="407">
        <f t="shared" si="0"/>
        <v>0</v>
      </c>
      <c r="H32" s="2"/>
    </row>
    <row r="33" spans="1:8" ht="39.950000000000003" customHeight="1">
      <c r="A33" s="51">
        <v>6</v>
      </c>
      <c r="B33" s="473"/>
      <c r="C33" s="474"/>
      <c r="D33" s="406"/>
      <c r="E33" s="406"/>
      <c r="F33" s="332">
        <f t="shared" si="1"/>
        <v>0</v>
      </c>
      <c r="G33" s="407">
        <f t="shared" si="0"/>
        <v>0</v>
      </c>
      <c r="H33" s="2"/>
    </row>
    <row r="34" spans="1:8" ht="18">
      <c r="B34" s="51"/>
      <c r="C34" s="51"/>
      <c r="D34" s="51"/>
      <c r="E34" s="51"/>
      <c r="F34" s="51"/>
    </row>
    <row r="35" spans="1:8" ht="18">
      <c r="F35" s="333"/>
    </row>
  </sheetData>
  <sheetProtection algorithmName="SHA-512" hashValue="uEWBqMrnaZwv6PXE9sw98L8qKIcFgEnVrktS+r9SluPQ1A5+AL/JE3UNExIrjyzAuxMawGXEmx1OMe/5Jw9TTA==" saltValue="PMfYHq/WWaseW4f7Qr3eUA==" spinCount="100000" sheet="1" objects="1" scenarios="1"/>
  <mergeCells count="20">
    <mergeCell ref="B8:C8"/>
    <mergeCell ref="B7:C7"/>
    <mergeCell ref="B31:C31"/>
    <mergeCell ref="B29:C29"/>
    <mergeCell ref="B30:C30"/>
    <mergeCell ref="B33:C33"/>
    <mergeCell ref="B32:C32"/>
    <mergeCell ref="B25:C25"/>
    <mergeCell ref="B28:C28"/>
    <mergeCell ref="B10:C10"/>
    <mergeCell ref="B19:C19"/>
    <mergeCell ref="B20:C20"/>
    <mergeCell ref="B11:C11"/>
    <mergeCell ref="B14:C14"/>
    <mergeCell ref="B12:C12"/>
    <mergeCell ref="B16:C16"/>
    <mergeCell ref="B17:C17"/>
    <mergeCell ref="B18:C18"/>
    <mergeCell ref="B15:C15"/>
    <mergeCell ref="B13:C13"/>
  </mergeCells>
  <phoneticPr fontId="2" type="noConversion"/>
  <dataValidations count="1">
    <dataValidation type="list" allowBlank="1" showInputMessage="1" showErrorMessage="1" sqref="D9" xr:uid="{00000000-0002-0000-0700-000000000000}">
      <formula1>"Please select, Approved degree holders or HKIAAT graduates who have passed the QP, Graduated from the Assoicate Level of QP, Approved accountancy diploma holders, Holders of other academic qualifications"</formula1>
    </dataValidation>
  </dataValidations>
  <pageMargins left="0.46" right="0.45" top="0.64" bottom="0.44" header="0.36" footer="0.3"/>
  <pageSetup scale="56" orientation="portrait" horizontalDpi="300" verticalDpi="300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249977111117893"/>
    <pageSetUpPr fitToPage="1"/>
  </sheetPr>
  <dimension ref="A1:E65"/>
  <sheetViews>
    <sheetView topLeftCell="A45" zoomScale="60" zoomScaleNormal="60" zoomScalePageLayoutView="40" workbookViewId="0">
      <selection activeCell="E4" sqref="E4"/>
    </sheetView>
  </sheetViews>
  <sheetFormatPr defaultColWidth="9" defaultRowHeight="15"/>
  <cols>
    <col min="1" max="5" width="45.5" style="1" customWidth="1"/>
    <col min="6" max="6" width="9.5" style="1" bestFit="1" customWidth="1"/>
    <col min="7" max="16384" width="9" style="1"/>
  </cols>
  <sheetData>
    <row r="1" spans="1:5" ht="30.75" customHeight="1">
      <c r="A1" s="71" t="s">
        <v>659</v>
      </c>
    </row>
    <row r="2" spans="1:5" ht="30.75" customHeight="1">
      <c r="A2" s="315"/>
    </row>
    <row r="3" spans="1:5" ht="18.75" thickBot="1">
      <c r="A3" s="371" t="s">
        <v>609</v>
      </c>
      <c r="B3" s="369"/>
      <c r="C3" s="369"/>
      <c r="D3" s="373" t="s">
        <v>720</v>
      </c>
      <c r="E3" s="412" t="s">
        <v>721</v>
      </c>
    </row>
    <row r="4" spans="1:5" ht="30" customHeight="1">
      <c r="A4" s="36" t="s">
        <v>665</v>
      </c>
      <c r="B4" s="365"/>
      <c r="C4" s="51"/>
      <c r="D4" s="329"/>
    </row>
    <row r="5" spans="1:5" ht="30" customHeight="1">
      <c r="A5" s="51" t="s">
        <v>634</v>
      </c>
      <c r="B5" s="353"/>
      <c r="C5" s="51"/>
      <c r="D5" s="329">
        <f>'Revised PEF - After conversion'!E5</f>
        <v>0</v>
      </c>
      <c r="E5" s="329">
        <f>IF(D5&gt;=75,D5,0)</f>
        <v>0</v>
      </c>
    </row>
    <row r="6" spans="1:5" ht="30" customHeight="1">
      <c r="A6" s="51" t="s">
        <v>635</v>
      </c>
      <c r="B6" s="353"/>
      <c r="C6" s="51"/>
      <c r="D6" s="329">
        <f>'Revised PEF - After conversion'!E6</f>
        <v>0</v>
      </c>
      <c r="E6" s="329">
        <f t="shared" ref="E6:E7" si="0">IF(D6&gt;=75,D6,0)</f>
        <v>0</v>
      </c>
    </row>
    <row r="7" spans="1:5" ht="30" customHeight="1">
      <c r="A7" s="51" t="s">
        <v>636</v>
      </c>
      <c r="B7" s="353"/>
      <c r="C7" s="51"/>
      <c r="D7" s="329">
        <f>'Revised PEF - After conversion'!E7</f>
        <v>0</v>
      </c>
      <c r="E7" s="329">
        <f t="shared" si="0"/>
        <v>0</v>
      </c>
    </row>
    <row r="8" spans="1:5" ht="30" customHeight="1">
      <c r="A8" s="51"/>
      <c r="B8" s="51"/>
      <c r="C8" s="51"/>
      <c r="D8" s="329"/>
      <c r="E8" s="329"/>
    </row>
    <row r="9" spans="1:5" ht="30" customHeight="1">
      <c r="A9" s="36" t="s">
        <v>643</v>
      </c>
      <c r="B9" s="365"/>
      <c r="C9" s="51"/>
      <c r="D9" s="329"/>
      <c r="E9" s="329"/>
    </row>
    <row r="10" spans="1:5" ht="30" customHeight="1">
      <c r="A10" s="51" t="s">
        <v>637</v>
      </c>
      <c r="B10" s="382"/>
      <c r="C10" s="51"/>
      <c r="D10" s="329">
        <f>'Revised PEF - After conversion'!E10</f>
        <v>0</v>
      </c>
      <c r="E10" s="329">
        <f t="shared" ref="E10:E12" si="1">IF(D10&gt;=75,D10,0)</f>
        <v>0</v>
      </c>
    </row>
    <row r="11" spans="1:5" ht="30" customHeight="1">
      <c r="A11" s="51" t="s">
        <v>638</v>
      </c>
      <c r="B11" s="353"/>
      <c r="C11" s="51"/>
      <c r="D11" s="329">
        <f>'Revised PEF - After conversion'!E11</f>
        <v>0</v>
      </c>
      <c r="E11" s="329">
        <f t="shared" si="1"/>
        <v>0</v>
      </c>
    </row>
    <row r="12" spans="1:5" ht="30" customHeight="1">
      <c r="A12" s="51" t="s">
        <v>639</v>
      </c>
      <c r="B12" s="353"/>
      <c r="C12" s="51"/>
      <c r="D12" s="329">
        <f>'Revised PEF - After conversion'!E12</f>
        <v>0</v>
      </c>
      <c r="E12" s="329">
        <f t="shared" si="1"/>
        <v>0</v>
      </c>
    </row>
    <row r="13" spans="1:5" ht="30" customHeight="1">
      <c r="A13" s="51"/>
      <c r="B13" s="353"/>
      <c r="C13" s="51"/>
      <c r="D13" s="329"/>
      <c r="E13" s="329"/>
    </row>
    <row r="14" spans="1:5" ht="30" customHeight="1">
      <c r="A14" s="36" t="s">
        <v>644</v>
      </c>
      <c r="B14" s="365"/>
      <c r="C14" s="51"/>
      <c r="D14" s="329"/>
      <c r="E14" s="329"/>
    </row>
    <row r="15" spans="1:5" ht="30" customHeight="1">
      <c r="A15" s="51" t="s">
        <v>640</v>
      </c>
      <c r="B15" s="353"/>
      <c r="C15" s="51"/>
      <c r="D15" s="329">
        <f>'Revised PEF - After conversion'!E15</f>
        <v>0</v>
      </c>
      <c r="E15" s="329">
        <f t="shared" ref="E15:E17" si="2">IF(D15&gt;=75,D15,0)</f>
        <v>0</v>
      </c>
    </row>
    <row r="16" spans="1:5" ht="30" customHeight="1">
      <c r="A16" s="51" t="s">
        <v>641</v>
      </c>
      <c r="B16" s="353"/>
      <c r="C16" s="51"/>
      <c r="D16" s="329">
        <f>'Revised PEF - After conversion'!E16</f>
        <v>0</v>
      </c>
      <c r="E16" s="329">
        <f t="shared" si="2"/>
        <v>0</v>
      </c>
    </row>
    <row r="17" spans="1:5" ht="30" customHeight="1">
      <c r="A17" s="51" t="s">
        <v>642</v>
      </c>
      <c r="B17" s="353"/>
      <c r="C17" s="51"/>
      <c r="D17" s="329">
        <f>'Revised PEF - After conversion'!E17</f>
        <v>0</v>
      </c>
      <c r="E17" s="329">
        <f t="shared" si="2"/>
        <v>0</v>
      </c>
    </row>
    <row r="18" spans="1:5" ht="30" customHeight="1">
      <c r="A18" s="51"/>
      <c r="B18" s="51"/>
      <c r="C18" s="51"/>
      <c r="D18" s="329"/>
      <c r="E18" s="329"/>
    </row>
    <row r="19" spans="1:5" ht="30" customHeight="1">
      <c r="A19" s="36" t="s">
        <v>666</v>
      </c>
      <c r="B19" s="365"/>
      <c r="C19" s="51"/>
      <c r="D19" s="329"/>
      <c r="E19" s="329"/>
    </row>
    <row r="20" spans="1:5" ht="30" customHeight="1">
      <c r="A20" s="51" t="s">
        <v>610</v>
      </c>
      <c r="B20" s="353"/>
      <c r="C20" s="51"/>
      <c r="D20" s="329">
        <f>'Revised PEF - After conversion'!E20</f>
        <v>0</v>
      </c>
      <c r="E20" s="329">
        <f t="shared" ref="E20:E22" si="3">IF(D20&gt;=75,D20,0)</f>
        <v>0</v>
      </c>
    </row>
    <row r="21" spans="1:5" ht="30" customHeight="1">
      <c r="A21" s="51" t="s">
        <v>611</v>
      </c>
      <c r="B21" s="353"/>
      <c r="C21" s="51"/>
      <c r="D21" s="329">
        <f>'Revised PEF - After conversion'!E21</f>
        <v>0</v>
      </c>
      <c r="E21" s="329">
        <f t="shared" si="3"/>
        <v>0</v>
      </c>
    </row>
    <row r="22" spans="1:5" ht="30" customHeight="1">
      <c r="A22" s="51" t="s">
        <v>612</v>
      </c>
      <c r="B22" s="353"/>
      <c r="C22" s="51"/>
      <c r="D22" s="329">
        <f>'Revised PEF - After conversion'!E22</f>
        <v>0</v>
      </c>
      <c r="E22" s="329">
        <f t="shared" si="3"/>
        <v>0</v>
      </c>
    </row>
    <row r="23" spans="1:5" ht="30" customHeight="1">
      <c r="A23" s="51"/>
      <c r="B23" s="353"/>
      <c r="C23" s="51"/>
      <c r="D23" s="329"/>
      <c r="E23" s="329"/>
    </row>
    <row r="24" spans="1:5" ht="30" customHeight="1">
      <c r="A24" s="36" t="s">
        <v>645</v>
      </c>
      <c r="B24" s="365"/>
      <c r="C24" s="51"/>
      <c r="D24" s="329"/>
      <c r="E24" s="329"/>
    </row>
    <row r="25" spans="1:5" ht="30" customHeight="1">
      <c r="A25" s="51" t="s">
        <v>613</v>
      </c>
      <c r="B25" s="353"/>
      <c r="C25" s="51"/>
      <c r="D25" s="329">
        <f>'Revised PEF - After conversion'!E25</f>
        <v>0</v>
      </c>
      <c r="E25" s="329">
        <f t="shared" ref="E25:E27" si="4">IF(D25&gt;=75,D25,0)</f>
        <v>0</v>
      </c>
    </row>
    <row r="26" spans="1:5" ht="30" customHeight="1">
      <c r="A26" s="51" t="s">
        <v>614</v>
      </c>
      <c r="B26" s="353"/>
      <c r="C26" s="51"/>
      <c r="D26" s="329">
        <f>'Revised PEF - After conversion'!E26</f>
        <v>0</v>
      </c>
      <c r="E26" s="329">
        <f t="shared" si="4"/>
        <v>0</v>
      </c>
    </row>
    <row r="27" spans="1:5" ht="30" customHeight="1">
      <c r="A27" s="51" t="s">
        <v>615</v>
      </c>
      <c r="B27" s="353"/>
      <c r="C27" s="51"/>
      <c r="D27" s="329">
        <f>'Revised PEF - After conversion'!E27</f>
        <v>0</v>
      </c>
      <c r="E27" s="329">
        <f t="shared" si="4"/>
        <v>0</v>
      </c>
    </row>
    <row r="28" spans="1:5" ht="30" customHeight="1">
      <c r="A28" s="51"/>
      <c r="B28" s="51"/>
      <c r="C28" s="51"/>
      <c r="D28" s="329"/>
      <c r="E28" s="329"/>
    </row>
    <row r="29" spans="1:5" ht="30" customHeight="1">
      <c r="A29" s="479" t="s">
        <v>646</v>
      </c>
      <c r="B29" s="479"/>
      <c r="C29" s="51"/>
      <c r="D29" s="329"/>
      <c r="E29" s="329"/>
    </row>
    <row r="30" spans="1:5" ht="15.95" customHeight="1">
      <c r="A30" s="479"/>
      <c r="B30" s="479"/>
      <c r="C30" s="51"/>
      <c r="D30" s="329"/>
      <c r="E30" s="329"/>
    </row>
    <row r="31" spans="1:5" ht="30" customHeight="1">
      <c r="A31" s="51" t="s">
        <v>616</v>
      </c>
      <c r="B31" s="353"/>
      <c r="C31" s="51"/>
      <c r="D31" s="329">
        <f>'Revised PEF - After conversion'!E30</f>
        <v>0</v>
      </c>
      <c r="E31" s="329">
        <f t="shared" ref="E31:E33" si="5">IF(D31&gt;=75,D31,0)</f>
        <v>0</v>
      </c>
    </row>
    <row r="32" spans="1:5" ht="30" customHeight="1">
      <c r="A32" s="51" t="s">
        <v>617</v>
      </c>
      <c r="B32" s="353"/>
      <c r="C32" s="51"/>
      <c r="D32" s="329">
        <f>'Revised PEF - After conversion'!E31</f>
        <v>0</v>
      </c>
      <c r="E32" s="329">
        <f t="shared" si="5"/>
        <v>0</v>
      </c>
    </row>
    <row r="33" spans="1:5" ht="30" customHeight="1">
      <c r="A33" s="51" t="s">
        <v>618</v>
      </c>
      <c r="B33" s="353"/>
      <c r="C33" s="51"/>
      <c r="D33" s="329">
        <f>'Revised PEF - After conversion'!E32</f>
        <v>0</v>
      </c>
      <c r="E33" s="329">
        <f t="shared" si="5"/>
        <v>0</v>
      </c>
    </row>
    <row r="34" spans="1:5" ht="30" customHeight="1">
      <c r="A34" s="51"/>
      <c r="B34" s="51"/>
      <c r="C34" s="51"/>
      <c r="D34" s="329"/>
    </row>
    <row r="35" spans="1:5" ht="30" customHeight="1">
      <c r="A35" s="51"/>
      <c r="B35" s="51"/>
      <c r="C35" s="333"/>
      <c r="D35" s="348">
        <f>SUM(D4:D33)</f>
        <v>0</v>
      </c>
      <c r="E35" s="348">
        <f>SUM(E4:E33)</f>
        <v>0</v>
      </c>
    </row>
    <row r="36" spans="1:5" ht="30" customHeight="1">
      <c r="A36" s="51"/>
      <c r="B36" s="51"/>
      <c r="C36" s="51"/>
      <c r="D36" s="51"/>
    </row>
    <row r="37" spans="1:5" ht="30" customHeight="1">
      <c r="A37" s="51" t="s">
        <v>714</v>
      </c>
      <c r="B37" s="51"/>
      <c r="C37" s="51"/>
      <c r="D37" s="51"/>
    </row>
    <row r="38" spans="1:5" ht="30" customHeight="1">
      <c r="A38" s="51"/>
      <c r="B38" s="51"/>
      <c r="C38" s="51"/>
      <c r="D38" s="51"/>
    </row>
    <row r="39" spans="1:5" ht="30" customHeight="1">
      <c r="A39" s="71" t="s">
        <v>658</v>
      </c>
      <c r="B39" s="374"/>
      <c r="C39" s="51"/>
      <c r="D39" s="51"/>
    </row>
    <row r="40" spans="1:5" ht="30" customHeight="1">
      <c r="A40" s="36"/>
      <c r="B40" s="51"/>
      <c r="C40" s="51"/>
      <c r="D40" s="51"/>
    </row>
    <row r="41" spans="1:5" ht="30" customHeight="1" thickBot="1">
      <c r="A41" s="368" t="s">
        <v>619</v>
      </c>
      <c r="B41" s="369"/>
      <c r="C41" s="369"/>
      <c r="D41" s="370" t="s">
        <v>620</v>
      </c>
    </row>
    <row r="42" spans="1:5" ht="30" customHeight="1">
      <c r="A42" s="36" t="s">
        <v>621</v>
      </c>
      <c r="B42" s="51"/>
      <c r="C42" s="51"/>
      <c r="D42" s="329"/>
    </row>
    <row r="43" spans="1:5" ht="30" customHeight="1">
      <c r="A43" s="51" t="s">
        <v>685</v>
      </c>
      <c r="B43" s="51"/>
      <c r="C43" s="51"/>
      <c r="D43" s="329" t="str">
        <f>'Revised PEF - After conversion'!C49</f>
        <v>Not achieved</v>
      </c>
    </row>
    <row r="44" spans="1:5" ht="30" customHeight="1">
      <c r="A44" s="51" t="s">
        <v>686</v>
      </c>
      <c r="B44" s="51"/>
      <c r="C44" s="51"/>
      <c r="D44" s="329" t="str">
        <f>'Revised PEF - After conversion'!C50</f>
        <v>Not achieved</v>
      </c>
    </row>
    <row r="45" spans="1:5" ht="30" customHeight="1">
      <c r="A45" s="51" t="s">
        <v>687</v>
      </c>
      <c r="B45" s="51"/>
      <c r="C45" s="51"/>
      <c r="D45" s="329" t="str">
        <f>'Revised PEF - After conversion'!C51</f>
        <v>Not achieved</v>
      </c>
    </row>
    <row r="46" spans="1:5" ht="30" customHeight="1">
      <c r="A46" s="51"/>
      <c r="B46" s="51"/>
      <c r="C46" s="51"/>
      <c r="D46" s="329"/>
    </row>
    <row r="47" spans="1:5" ht="30" customHeight="1">
      <c r="A47" s="36" t="s">
        <v>622</v>
      </c>
      <c r="B47" s="51"/>
      <c r="C47" s="51"/>
      <c r="D47" s="329"/>
    </row>
    <row r="48" spans="1:5" ht="30" customHeight="1">
      <c r="A48" s="51" t="s">
        <v>688</v>
      </c>
      <c r="B48" s="51"/>
      <c r="C48" s="51"/>
      <c r="D48" s="329" t="str">
        <f>'Revised PEF - After conversion'!C54</f>
        <v>Not achieved</v>
      </c>
    </row>
    <row r="49" spans="1:4" ht="30" customHeight="1">
      <c r="A49" s="51" t="s">
        <v>689</v>
      </c>
      <c r="B49" s="51"/>
      <c r="C49" s="51"/>
      <c r="D49" s="329" t="str">
        <f>'Revised PEF - After conversion'!C55</f>
        <v>Not achieved</v>
      </c>
    </row>
    <row r="50" spans="1:4" ht="30" customHeight="1">
      <c r="A50" s="51" t="s">
        <v>690</v>
      </c>
      <c r="B50" s="51"/>
      <c r="C50" s="51"/>
      <c r="D50" s="329" t="str">
        <f>'Revised PEF - After conversion'!C56</f>
        <v>Not achieved</v>
      </c>
    </row>
    <row r="51" spans="1:4" ht="30" customHeight="1">
      <c r="A51" s="51" t="s">
        <v>691</v>
      </c>
      <c r="B51" s="51"/>
      <c r="C51" s="51"/>
      <c r="D51" s="329" t="str">
        <f>'Revised PEF - After conversion'!C57</f>
        <v>Not achieved</v>
      </c>
    </row>
    <row r="52" spans="1:4" ht="30" customHeight="1">
      <c r="A52" s="51"/>
      <c r="B52" s="51"/>
      <c r="C52" s="51"/>
      <c r="D52" s="51"/>
    </row>
    <row r="53" spans="1:4" ht="30" customHeight="1" thickBot="1">
      <c r="A53" s="371" t="s">
        <v>647</v>
      </c>
      <c r="B53" s="369"/>
      <c r="C53" s="369"/>
      <c r="D53" s="370"/>
    </row>
    <row r="54" spans="1:4" ht="30" customHeight="1">
      <c r="A54" s="51"/>
      <c r="B54" s="51"/>
      <c r="C54" s="51"/>
      <c r="D54" s="51"/>
    </row>
    <row r="55" spans="1:4" ht="30" customHeight="1">
      <c r="A55" s="478" t="s">
        <v>692</v>
      </c>
      <c r="B55" s="478"/>
      <c r="C55" s="478"/>
      <c r="D55" s="478"/>
    </row>
    <row r="56" spans="1:4" ht="43.5" customHeight="1">
      <c r="A56" s="478"/>
      <c r="B56" s="478"/>
      <c r="C56" s="478"/>
      <c r="D56" s="478"/>
    </row>
    <row r="57" spans="1:4" ht="30" customHeight="1">
      <c r="A57" s="51"/>
      <c r="B57" s="51"/>
      <c r="C57" s="51"/>
      <c r="D57" s="51"/>
    </row>
    <row r="58" spans="1:4" ht="30" customHeight="1">
      <c r="A58" s="478" t="s">
        <v>715</v>
      </c>
      <c r="B58" s="478"/>
      <c r="C58" s="478"/>
      <c r="D58" s="478"/>
    </row>
    <row r="59" spans="1:4" ht="30" customHeight="1">
      <c r="A59" s="478"/>
      <c r="B59" s="478"/>
      <c r="C59" s="478"/>
      <c r="D59" s="478"/>
    </row>
    <row r="60" spans="1:4" ht="13.5" customHeight="1">
      <c r="A60" s="478"/>
      <c r="B60" s="478"/>
      <c r="C60" s="478"/>
      <c r="D60" s="478"/>
    </row>
    <row r="61" spans="1:4" ht="30" customHeight="1">
      <c r="A61" s="51"/>
      <c r="B61" s="51"/>
      <c r="C61" s="51"/>
      <c r="D61" s="51"/>
    </row>
    <row r="62" spans="1:4" ht="30" customHeight="1">
      <c r="A62" s="51"/>
      <c r="B62" s="51"/>
      <c r="C62" s="51"/>
      <c r="D62" s="51"/>
    </row>
    <row r="63" spans="1:4" ht="30" customHeight="1">
      <c r="A63" s="51"/>
      <c r="B63" s="51"/>
      <c r="C63" s="51"/>
      <c r="D63" s="51"/>
    </row>
    <row r="64" spans="1:4" ht="30" customHeight="1" thickBot="1">
      <c r="A64" s="333" t="s">
        <v>693</v>
      </c>
      <c r="B64" s="372"/>
      <c r="C64" s="333" t="s">
        <v>623</v>
      </c>
      <c r="D64" s="372"/>
    </row>
    <row r="65" ht="30" customHeight="1"/>
  </sheetData>
  <sheetProtection algorithmName="SHA-512" hashValue="THwqiE91wUpGbYNnNHlFbEGk5rGuuM/li/cNGD9r0mlldCP2hfpSKGIPef4va7XZTb57o69I1eqxzDetJ4Azng==" saltValue="Tod2mR3/HYrmpw1835qbcw==" spinCount="100000" sheet="1" objects="1" scenarios="1"/>
  <mergeCells count="3">
    <mergeCell ref="A55:D56"/>
    <mergeCell ref="A58:D60"/>
    <mergeCell ref="A29:B30"/>
  </mergeCells>
  <phoneticPr fontId="2" type="noConversion"/>
  <pageMargins left="0.46" right="0.45" top="0.64" bottom="0.44" header="0.36" footer="0.3"/>
  <pageSetup paperSize="9" scale="40" fitToWidth="0" orientation="portrait" horizontalDpi="300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New PEF Part time calc</vt:lpstr>
      <vt:lpstr>Conversion Rules (Appx II)</vt:lpstr>
      <vt:lpstr>Full (New) to Part (New)</vt:lpstr>
      <vt:lpstr>Part (New) to Full (New)</vt:lpstr>
      <vt:lpstr>Examples (Appx C)</vt:lpstr>
      <vt:lpstr>Full (Old) to Part (New)</vt:lpstr>
      <vt:lpstr>Conversion tool (Appx IV)</vt:lpstr>
      <vt:lpstr>Summary report</vt:lpstr>
      <vt:lpstr>Competence &amp; Declaration</vt:lpstr>
      <vt:lpstr>Old PEF (For student's input)</vt:lpstr>
      <vt:lpstr>Revised PEF - After conversion</vt:lpstr>
      <vt:lpstr>Conversion(Sample1)</vt:lpstr>
      <vt:lpstr>Not used-&gt;</vt:lpstr>
      <vt:lpstr>Conversion(Sample2)</vt:lpstr>
      <vt:lpstr>Comparison</vt:lpstr>
      <vt:lpstr>New PEF (Full &amp; Part)</vt:lpstr>
      <vt:lpstr>Comparison!Print_Area</vt:lpstr>
      <vt:lpstr>'Competence &amp; Declaration'!Print_Area</vt:lpstr>
      <vt:lpstr>'Conversion Rules (Appx II)'!Print_Area</vt:lpstr>
      <vt:lpstr>'Conversion tool (Appx IV)'!Print_Area</vt:lpstr>
      <vt:lpstr>'Conversion(Sample1)'!Print_Area</vt:lpstr>
      <vt:lpstr>'Conversion(Sample2)'!Print_Area</vt:lpstr>
      <vt:lpstr>'Examples (Appx C)'!Print_Area</vt:lpstr>
      <vt:lpstr>'Full (New) to Part (New)'!Print_Area</vt:lpstr>
      <vt:lpstr>'Full (Old) to Part (New)'!Print_Area</vt:lpstr>
      <vt:lpstr>'New PEF (Full &amp; Part)'!Print_Area</vt:lpstr>
      <vt:lpstr>'New PEF Part time calc'!Print_Area</vt:lpstr>
      <vt:lpstr>'Old PEF (For student''s input)'!Print_Area</vt:lpstr>
      <vt:lpstr>'Part (New) to Full (New)'!Print_Area</vt:lpstr>
      <vt:lpstr>'Summary report'!Print_Area</vt:lpstr>
      <vt:lpstr>'Conversion(Sample1)'!Print_Titles</vt:lpstr>
      <vt:lpstr>'Conversion(Sample2)'!Print_Titles</vt:lpstr>
    </vt:vector>
  </TitlesOfParts>
  <Company>HKICPA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bernadettelee</dc:creator>
  <cp:lastModifiedBy>Jackie Wong Man Chun</cp:lastModifiedBy>
  <cp:lastPrinted>2022-09-05T04:55:57Z</cp:lastPrinted>
  <dcterms:created xsi:type="dcterms:W3CDTF">2017-07-18T06:07:14Z</dcterms:created>
  <dcterms:modified xsi:type="dcterms:W3CDTF">2025-05-21T07:48:18Z</dcterms:modified>
</cp:coreProperties>
</file>